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JiswqevHibdmJwY3KISWst/cvRNCiwf7sOjXUV8OAx2/Ci/PUWmLI221ExFmC47jDHx6Plch0YwfObdLB97g8w==" workbookSaltValue="aUz8q78BolCxrJ2JZ9w2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E20" i="17" l="1"/>
  <c r="BF13" i="8"/>
  <c r="BE13" i="8"/>
  <c r="J9"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M21" i="16"/>
  <c r="AB21" i="17"/>
  <c r="F21" i="11"/>
  <c r="S21" i="11"/>
  <c r="F21" i="16"/>
  <c r="AB21" i="16"/>
  <c r="AF21" i="21"/>
  <c r="L21" i="17"/>
  <c r="R21" i="16"/>
  <c r="BA21" i="16"/>
  <c r="BG21" i="16"/>
  <c r="BB21" i="16"/>
  <c r="AH21" i="17"/>
  <c r="AN21" i="11"/>
  <c r="Z21" i="21"/>
  <c r="K21" i="16"/>
  <c r="Y21" i="21"/>
  <c r="AB21" i="11"/>
  <c r="I21" i="17"/>
  <c r="AJ21" i="11"/>
  <c r="K21" i="21"/>
  <c r="AC21" i="11"/>
  <c r="P21" i="17"/>
  <c r="AC21" i="21"/>
  <c r="AU21" i="16"/>
  <c r="Y21" i="17"/>
  <c r="AR21" i="16"/>
  <c r="AA21" i="16"/>
  <c r="AG21" i="21"/>
  <c r="AI21" i="17"/>
  <c r="Q21" i="21"/>
  <c r="BH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M21" i="11"/>
  <c r="AH21" i="21"/>
  <c r="BI21" i="16"/>
  <c r="AM21" i="21"/>
  <c r="AW21" i="16"/>
  <c r="O21" i="21"/>
  <c r="BO21" i="16"/>
  <c r="BC21" i="21"/>
  <c r="BJ21" i="16"/>
  <c r="V21" i="11"/>
  <c r="AD21" i="21"/>
  <c r="P21" i="21"/>
  <c r="AL21" i="11"/>
  <c r="Z21" i="16"/>
  <c r="AS21" i="16"/>
  <c r="AT21" i="20"/>
  <c r="AU21" i="21"/>
  <c r="AP21" i="16"/>
  <c r="W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<sst xmlns="http://schemas.openxmlformats.org/spreadsheetml/2006/main" count="2527" uniqueCount="1027">
  <si>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</si>
  <si>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</si>
  <si>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</si>
  <si>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</si>
  <si>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</si>
  <si>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</si>
  <si>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</si>
  <si>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</si>
  <si>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</si>
  <si>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</si>
  <si>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</si>
  <si>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</si>
  <si>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</si>
  <si>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</si>
  <si>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</si>
  <si>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</si>
  <si>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</si>
  <si>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</si>
  <si>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</si>
  <si>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</si>
  <si>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</si>
  <si>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</si>
  <si>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</si>
  <si>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</si>
  <si>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</si>
  <si>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</si>
  <si>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</si>
  <si>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</si>
  <si>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</si>
  <si>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</si>
  <si>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</si>
  <si>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</si>
  <si>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</si>
  <si>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</si>
  <si>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</si>
  <si>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</si>
  <si>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</si>
  <si>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</si>
  <si>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</si>
  <si>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</si>
  <si>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</si>
  <si>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</si>
  <si>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</si>
  <si>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</si>
  <si>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</si>
  <si>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</si>
  <si>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</si>
  <si>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</si>
  <si>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</si>
  <si>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</si>
  <si>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</si>
  <si>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</si>
  <si>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</si>
  <si>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</si>
  <si>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</si>
  <si>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</si>
  <si>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</si>
  <si>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</si>
  <si>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</si>
  <si>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</si>
  <si>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</si>
  <si>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</si>
  <si>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</si>
  <si>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</si>
  <si>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</si>
  <si>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</si>
  <si>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</si>
  <si>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</si>
  <si>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</si>
  <si>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</si>
  <si>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</si>
  <si>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</si>
  <si>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</si>
  <si>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</si>
  <si>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</si>
  <si>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</si>
  <si>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</si>
  <si>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</si>
  <si>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</si>
  <si>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</si>
  <si>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</si>
  <si>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</si>
  <si>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</si>
  <si>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</si>
  <si>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</si>
  <si>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</si>
  <si>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</si>
  <si>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</si>
  <si>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</si>
  <si>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</si>
  <si>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</si>
  <si>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</si>
  <si>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</si>
  <si>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</si>
  <si>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</si>
  <si>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</si>
  <si>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</si>
  <si>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</si>
  <si>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</si>
  <si>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</si>
  <si>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</si>
  <si>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</si>
  <si>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</si>
  <si>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</si>
  <si>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</si>
  <si>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</si>
  <si>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</si>
  <si>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</si>
  <si>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</si>
  <si>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</si>
  <si>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</si>
  <si>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</si>
  <si>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</si>
  <si>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</si>
  <si>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</si>
  <si>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</si>
  <si>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</si>
  <si>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</si>
  <si>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</si>
  <si>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</si>
  <si>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</si>
  <si>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</si>
  <si>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</si>
  <si>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</si>
  <si>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</si>
  <si>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</si>
  <si>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</si>
  <si>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</si>
  <si>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</si>
  <si>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</si>
  <si>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</si>
  <si>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</si>
  <si>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</si>
  <si>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</si>
  <si>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</si>
  <si>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</si>
  <si>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</si>
  <si>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</si>
  <si>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</si>
  <si>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</si>
  <si>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</si>
  <si>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</si>
  <si>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</si>
  <si>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</si>
  <si>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</si>
  <si>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</si>
  <si>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</si>
  <si>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</si>
  <si>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</si>
  <si>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</si>
  <si>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</si>
  <si>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</si>
  <si>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</si>
  <si>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</si>
  <si>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</si>
  <si>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</si>
  <si>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</si>
  <si>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</si>
  <si>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</si>
  <si>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</si>
  <si>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</si>
  <si>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</si>
  <si>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</si>
  <si>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</si>
  <si>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</si>
  <si>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</si>
  <si>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</si>
  <si>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</si>
  <si>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</si>
  <si>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</si>
  <si>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</si>
  <si>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</si>
  <si>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</si>
  <si>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</si>
  <si>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</si>
  <si>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</si>
  <si>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</si>
  <si>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</si>
  <si>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</si>
  <si>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</si>
  <si>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</si>
  <si>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</si>
  <si>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</si>
  <si>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</si>
  <si>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</si>
  <si>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</si>
  <si>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</si>
  <si>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</si>
  <si>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</si>
  <si>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</si>
  <si>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</si>
  <si>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</si>
  <si>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</si>
  <si>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</si>
  <si>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</si>
  <si>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</si>
  <si>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</si>
  <si>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</si>
  <si>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</si>
  <si>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</si>
  <si>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</si>
  <si>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</si>
  <si>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</si>
  <si>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</si>
  <si>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</si>
  <si>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</si>
  <si>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</si>
  <si>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</si>
  <si>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</si>
  <si>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</si>
  <si>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</si>
  <si>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</si>
  <si>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</si>
  <si>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</si>
  <si>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</si>
  <si>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</si>
  <si>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</si>
  <si>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</si>
  <si>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</si>
  <si>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</si>
  <si>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</si>
  <si>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</si>
  <si>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</si>
  <si>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</si>
  <si>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</si>
  <si>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</si>
  <si>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</si>
  <si>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</si>
  <si>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</si>
  <si>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</si>
  <si>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</si>
  <si>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</si>
  <si>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</si>
  <si>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</si>
  <si>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</si>
  <si>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</si>
  <si>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</si>
  <si>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</si>
  <si>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</si>
  <si>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</si>
  <si>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</si>
  <si>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</si>
  <si>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</si>
  <si>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</si>
  <si>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</si>
  <si>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</si>
  <si>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</si>
  <si>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</si>
  <si>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</si>
  <si>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</si>
  <si>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</si>
  <si>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</si>
  <si>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</si>
  <si>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</si>
  <si>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</si>
  <si>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</si>
  <si>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</si>
  <si>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</si>
  <si>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</si>
  <si>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</si>
  <si>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</si>
  <si>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</si>
  <si>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</si>
  <si>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</si>
  <si>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</si>
  <si>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</si>
  <si>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</si>
  <si>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</si>
  <si>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</si>
  <si>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</si>
  <si>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</si>
  <si>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</si>
  <si>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</si>
  <si>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</si>
  <si>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</si>
  <si>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</si>
  <si>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</si>
  <si>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</si>
  <si>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</si>
  <si>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</si>
  <si>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</si>
  <si>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</si>
  <si>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</si>
  <si>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</si>
  <si>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</si>
  <si>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</si>
  <si>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</si>
  <si>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</si>
  <si>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</si>
  <si>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</si>
  <si>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</si>
  <si>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</si>
  <si>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</si>
  <si>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</si>
  <si>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</si>
  <si>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</si>
  <si>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</si>
  <si>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</si>
  <si>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</si>
  <si>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</si>
  <si>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</si>
  <si>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</si>
  <si>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</si>
  <si>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</si>
  <si>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</si>
  <si>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</si>
  <si>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</si>
  <si>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</si>
  <si>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</si>
  <si>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</si>
  <si>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</si>
  <si>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</si>
  <si>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</si>
  <si>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</si>
  <si>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</si>
  <si>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</si>
  <si>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</si>
  <si>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</si>
  <si>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</si>
  <si>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</si>
  <si>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</si>
  <si>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</si>
  <si>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</si>
  <si>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</si>
  <si>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</si>
  <si>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</si>
  <si>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</si>
  <si>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</si>
  <si>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</si>
  <si>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</si>
  <si>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</si>
  <si>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</si>
  <si>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</si>
  <si>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</si>
  <si>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</si>
  <si>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</si>
  <si>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</si>
  <si>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</si>
  <si>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</si>
  <si>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</si>
  <si>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</si>
  <si>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</si>
  <si>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</si>
  <si>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</si>
  <si>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</si>
  <si>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</si>
  <si>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</si>
  <si>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</si>
  <si>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</si>
  <si>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</si>
  <si>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</si>
  <si>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</si>
  <si>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</si>
  <si>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</si>
  <si>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</si>
  <si>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</si>
  <si>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</si>
  <si>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</si>
  <si>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</si>
  <si>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</si>
  <si>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</si>
  <si>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</si>
  <si>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</si>
  <si>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</si>
  <si>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</si>
  <si>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</si>
  <si>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</si>
  <si>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</si>
  <si>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</si>
  <si>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</si>
  <si>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</si>
  <si>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</si>
  <si>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</si>
  <si>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</si>
  <si>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</si>
  <si>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</si>
  <si>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</si>
  <si>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</si>
  <si>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</si>
  <si>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</si>
  <si>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</si>
  <si>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</si>
  <si>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</si>
  <si>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</si>
  <si>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</si>
  <si>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</si>
  <si>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</si>
  <si>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</si>
  <si>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</si>
  <si>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</si>
  <si>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</si>
  <si>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</si>
  <si>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</si>
  <si>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</si>
  <si>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</si>
  <si>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</si>
  <si>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</si>
  <si>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</si>
  <si>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</si>
  <si>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</si>
  <si>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</si>
  <si>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</si>
  <si>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</si>
  <si>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</si>
  <si>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</si>
  <si>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</si>
  <si>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</si>
  <si>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</si>
  <si>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</si>
  <si>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</si>
  <si>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</si>
  <si>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</si>
  <si>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</si>
  <si>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</si>
  <si>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</si>
  <si>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</si>
  <si>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</si>
  <si>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</si>
  <si>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</si>
  <si>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</si>
  <si>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</si>
  <si>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</si>
  <si>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</si>
  <si>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</si>
  <si>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</si>
  <si>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</si>
  <si>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</si>
  <si>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</si>
  <si>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</si>
  <si>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</si>
  <si>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</si>
  <si>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</si>
  <si>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</si>
  <si>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</si>
  <si>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</si>
  <si>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</si>
  <si>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</si>
  <si>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</si>
  <si>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</si>
  <si>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</si>
  <si>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</si>
  <si>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</si>
  <si>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</si>
  <si>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</si>
  <si>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</si>
  <si>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</si>
  <si>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</si>
  <si>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</si>
  <si>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</si>
  <si>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</si>
  <si>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</si>
  <si>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</si>
  <si>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</si>
  <si>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</si>
  <si>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</si>
  <si>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</si>
  <si>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</si>
  <si>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</si>
  <si>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</si>
  <si>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</si>
  <si>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</si>
  <si>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</si>
  <si>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</si>
  <si>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</si>
  <si>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</si>
  <si>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</si>
  <si>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</si>
  <si>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</si>
  <si>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</si>
  <si>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</si>
  <si>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</si>
  <si>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</si>
  <si>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</si>
  <si>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</si>
  <si>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</si>
  <si>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</si>
  <si>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</si>
  <si>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</si>
  <si>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</si>
  <si>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</si>
  <si>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</si>
  <si>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</si>
  <si>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</si>
  <si>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</si>
  <si>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</si>
  <si>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</si>
  <si>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</si>
  <si>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</si>
  <si>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</si>
  <si>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</si>
  <si>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</si>
  <si>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</si>
  <si>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</si>
  <si>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</si>
  <si>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</si>
  <si>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</si>
  <si>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</si>
  <si>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</si>
  <si>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</si>
  <si>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</si>
  <si>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</si>
  <si>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</si>
  <si>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</si>
  <si>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</si>
  <si>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</si>
  <si>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</si>
  <si>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</si>
  <si>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</si>
  <si>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</si>
  <si>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</si>
  <si>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</si>
  <si>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</si>
  <si>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</si>
  <si>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</si>
  <si>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</si>
  <si>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</si>
  <si>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</si>
  <si>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</si>
  <si>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</si>
  <si>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</si>
  <si>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</si>
  <si>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</si>
  <si>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</si>
  <si>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</si>
  <si>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</si>
  <si>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</si>
  <si>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</si>
  <si>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</si>
  <si>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</si>
  <si>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</si>
  <si>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</si>
  <si>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</si>
  <si>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</si>
  <si>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</si>
  <si>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</si>
  <si>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</si>
  <si>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</si>
  <si>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</si>
  <si>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</si>
  <si>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</si>
  <si>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</si>
  <si>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</si>
  <si>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</si>
  <si>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</si>
  <si>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</si>
  <si>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</si>
  <si>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</si>
  <si>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</si>
  <si>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</si>
  <si>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</si>
  <si>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</si>
  <si>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</si>
  <si>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</si>
  <si>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</si>
  <si>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</si>
  <si>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</si>
  <si>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</si>
  <si>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</si>
  <si>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</si>
  <si>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</si>
  <si>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</si>
  <si>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</si>
  <si>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</si>
  <si>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</si>
  <si>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</si>
  <si>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</si>
  <si>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</si>
  <si>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</si>
  <si>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</si>
  <si>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</si>
  <si>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</si>
  <si>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</si>
  <si>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</si>
  <si>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</si>
  <si>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</si>
  <si>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</si>
  <si>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</si>
  <si>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</si>
  <si>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</si>
  <si>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</si>
  <si>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</si>
  <si>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</si>
  <si>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</si>
  <si>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</si>
  <si>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</si>
  <si>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</si>
  <si>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</si>
  <si>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</si>
  <si>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</si>
  <si>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</si>
  <si>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</si>
  <si>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</si>
  <si>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</si>
  <si>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</si>
  <si>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</si>
  <si>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</si>
  <si>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</si>
  <si>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</si>
  <si>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</si>
  <si>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</si>
  <si>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</si>
  <si>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</si>
  <si>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</si>
  <si>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</si>
  <si>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</si>
  <si>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</si>
  <si>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</si>
  <si>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</si>
  <si>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</si>
  <si>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</si>
  <si>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</si>
  <si>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</si>
  <si>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</si>
  <si>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</si>
  <si>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</si>
  <si>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</si>
  <si>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</si>
  <si>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</si>
  <si>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</si>
  <si>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</si>
  <si>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</si>
  <si>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</si>
  <si>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</si>
  <si>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</si>
  <si>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</si>
  <si>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</si>
  <si>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</si>
  <si>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</si>
  <si>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</si>
  <si>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</si>
  <si>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</si>
  <si>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</si>
  <si>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</si>
  <si>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</si>
  <si>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</si>
  <si>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</si>
  <si>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</si>
  <si>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</si>
  <si>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</si>
  <si>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</si>
  <si>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</si>
  <si>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</si>
  <si>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</si>
  <si>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</si>
  <si>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</si>
  <si>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</si>
  <si>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</si>
  <si>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</si>
  <si>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</si>
  <si>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</si>
  <si>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</si>
  <si>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</si>
  <si>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</si>
  <si>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</si>
  <si>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</si>
  <si>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</si>
  <si>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</si>
  <si>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</si>
  <si>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</si>
  <si>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</si>
  <si>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</si>
  <si>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</si>
  <si>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</si>
  <si>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</si>
  <si>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</si>
  <si>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</si>
  <si>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</si>
  <si>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</si>
  <si>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</si>
  <si>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</si>
  <si>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</si>
  <si>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</si>
  <si>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</si>
  <si>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</si>
  <si>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</si>
  <si>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</si>
  <si>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</si>
  <si>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</si>
  <si>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</si>
  <si>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</si>
  <si>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</si>
  <si>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</si>
  <si>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</si>
  <si>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</si>
  <si>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</si>
  <si>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</si>
  <si>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</si>
  <si>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</si>
  <si>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</si>
  <si>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</si>
  <si>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</si>
  <si>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</si>
  <si>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</si>
  <si>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</si>
  <si>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</si>
  <si>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</si>
  <si>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</si>
  <si>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</si>
  <si>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</si>
  <si>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</si>
  <si>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</si>
  <si>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</si>
  <si>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</si>
  <si>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</si>
  <si>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</si>
  <si>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</si>
  <si>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</si>
  <si>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</si>
  <si>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</si>
  <si>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</si>
  <si>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</si>
  <si>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</si>
  <si>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</si>
  <si>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</si>
  <si>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</si>
  <si>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</si>
  <si>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</si>
  <si>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</si>
  <si>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</si>
  <si>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</si>
  <si>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</si>
  <si>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</si>
  <si>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</si>
  <si>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</si>
  <si>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</si>
  <si>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</si>
  <si>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</si>
  <si>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</si>
  <si>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</si>
  <si>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</si>
  <si>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</si>
  <si>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</si>
  <si>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</si>
  <si>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</si>
  <si>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</si>
  <si>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</si>
  <si>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</si>
  <si>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</si>
  <si>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</si>
  <si>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</si>
  <si>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</si>
  <si>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</si>
  <si>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</si>
  <si>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</si>
  <si>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</si>
  <si>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</si>
  <si>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</si>
  <si>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</si>
  <si>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</si>
  <si>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</si>
  <si>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</si>
  <si>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</si>
  <si>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</si>
  <si>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</si>
  <si>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</si>
  <si>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</si>
  <si>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</si>
  <si>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</si>
  <si>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</si>
  <si>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</si>
  <si>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</si>
  <si>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</si>
  <si>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</si>
  <si>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</si>
  <si>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</si>
  <si>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</si>
  <si>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</si>
  <si>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</si>
  <si>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</si>
  <si>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</si>
  <si>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</si>
  <si>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</si>
  <si>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</si>
  <si>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</si>
  <si>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</si>
  <si>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</si>
  <si>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</si>
  <si>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</si>
  <si>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</si>
  <si>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</si>
  <si>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</si>
  <si>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</si>
  <si>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</si>
  <si>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</si>
  <si>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</si>
  <si>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</si>
  <si>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</si>
  <si>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</si>
  <si>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</si>
  <si>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</si>
  <si>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</si>
  <si>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</si>
  <si>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</si>
  <si>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</si>
  <si>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</si>
  <si>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</si>
  <si>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</si>
  <si>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</si>
  <si>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</si>
  <si>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</si>
  <si>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</si>
  <si>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</si>
  <si>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</si>
  <si>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</si>
  <si>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</si>
  <si>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</si>
  <si>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</si>
  <si>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</si>
  <si>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</si>
  <si>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</si>
  <si>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</si>
  <si>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</si>
  <si>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</si>
  <si>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</si>
  <si>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</si>
  <si>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</si>
  <si>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</si>
  <si>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</si>
  <si>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</si>
  <si>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</si>
  <si>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</si>
  <si>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</si>
  <si>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</si>
  <si>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</si>
  <si>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</si>
  <si>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</si>
  <si>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</si>
  <si>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</si>
  <si>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</si>
  <si>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</si>
  <si>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</si>
  <si>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</si>
  <si>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</si>
  <si>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</si>
  <si>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</si>
  <si>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</si>
  <si>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</si>
  <si>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</si>
  <si>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</si>
  <si>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</si>
  <si>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</si>
  <si>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</si>
  <si>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</si>
  <si>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</si>
  <si>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</si>
  <si>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</si>
  <si>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</si>
  <si>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</si>
  <si>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</si>
  <si>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</si>
  <si>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</si>
  <si>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</si>
  <si>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</si>
  <si>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</si>
  <si>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</si>
  <si>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</si>
  <si>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</si>
  <si>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</si>
  <si>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</si>
  <si>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</si>
  <si>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</si>
  <si>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</si>
  <si>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</si>
  <si>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</si>
  <si>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</si>
  <si>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</si>
  <si>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</si>
  <si>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</si>
  <si>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</si>
  <si>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</si>
  <si>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</si>
  <si>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</si>
  <si>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</si>
  <si>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</si>
  <si>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</si>
  <si>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</si>
  <si>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</si>
  <si>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</si>
  <si>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</si>
  <si>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</si>
  <si>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</si>
  <si>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</si>
  <si>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</si>
  <si>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</si>
  <si>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</si>
  <si>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</si>
  <si>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</si>
  <si>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</si>
  <si>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</si>
  <si>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</si>
  <si>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</si>
  <si>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</si>
  <si>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</si>
  <si>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</si>
  <si>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</si>
  <si>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</si>
  <si>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</si>
  <si>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</si>
  <si>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</si>
  <si>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</si>
  <si>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</si>
  <si>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</si>
  <si>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</si>
  <si>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</si>
  <si>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</si>
  <si>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</si>
  <si>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</si>
  <si>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</si>
  <si>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</si>
  <si>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</si>
  <si>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</si>
  <si>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</si>
  <si>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</si>
  <si>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</si>
  <si>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</si>
  <si>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</si>
  <si>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</si>
  <si>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</si>
  <si>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</si>
  <si>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</si>
  <si>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</si>
  <si>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</si>
  <si>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</si>
  <si>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</si>
  <si>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</si>
  <si>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</si>
  <si>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</si>
  <si>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</si>
  <si>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</si>
  <si>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</si>
  <si>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</si>
  <si>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</si>
  <si>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</si>
  <si>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</si>
  <si>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</si>
  <si>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</si>
  <si>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</si>
  <si>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</si>
  <si>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</si>
  <si>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</si>
  <si>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</si>
  <si>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</si>
  <si>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</si>
  <si>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</si>
  <si>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</si>
  <si>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</si>
  <si>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</si>
  <si>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</si>
  <si>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</si>
  <si>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</si>
  <si>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</si>
  <si>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</si>
  <si>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</si>
  <si>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</si>
  <si>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</si>
  <si>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</si>
  <si>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</si>
  <si>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</si>
  <si>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</si>
  <si>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</si>
  <si>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</si>
  <si>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</si>
  <si>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</si>
  <si>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</si>
  <si>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</si>
  <si>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</si>
  <si>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</si>
  <si>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</si>
  <si>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</si>
  <si>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</si>
  <si>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</si>
  <si>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</si>
  <si>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</si>
  <si>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</si>
  <si>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</si>
  <si>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</si>
  <si>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</si>
  <si>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</si>
  <si>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</si>
  <si>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</si>
  <si>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</si>
  <si>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</si>
  <si>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</si>
  <si>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</si>
  <si>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</si>
  <si>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</si>
  <si>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</si>
  <si>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</si>
  <si>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</si>
  <si>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</si>
  <si>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</si>
  <si>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</si>
  <si>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</si>
  <si>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</si>
  <si>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</si>
  <si>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</si>
  <si>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</si>
  <si>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</si>
  <si>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</si>
  <si>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</si>
  <si>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</si>
  <si>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</si>
  <si>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</si>
  <si>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</si>
  <si>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</si>
  <si>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</si>
  <si>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</si>
  <si>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</si>
  <si>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</si>
  <si>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</si>
  <si>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</si>
  <si>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</si>
  <si>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</si>
  <si>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</si>
  <si>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</si>
  <si>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</si>
  <si>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</si>
  <si>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</si>
  <si>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</si>
  <si>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</si>
  <si>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</si>
  <si>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</si>
  <si>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</si>
  <si>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</si>
  <si>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</si>
  <si>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</si>
  <si>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MARBELLA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</si>
</sst>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Zcpyo/R7klgPp3gRo1x6+AosZV21rHTXZ35C2zANT+RHmhSkAEQbcae2wa2OQlHem/AGpZgBeqKyake3P3frw==" saltValue="97xKqtDnF2eDvWjOUlQ8O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MARBELLA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v>
      </c>
      <c r="C9" s="402">
        <f>IF(ISNUMBER(IF(J_V="SI",Datos!I9,Datos!I9+Datos!Y9)),IF(J_V="SI",Datos!I9,Datos!I9+Datos!Y9)," - ")</f>
        <v>12214</v>
      </c>
      <c r="D9" s="403">
        <f>IF(ISNUMBER(C9/Datos!BH9),C9/Datos!BH9," - ")</f>
        <v>1526.75</v>
      </c>
      <c r="E9" s="402">
        <f>IF(ISNUMBER(IF(J_V="SI",Datos!J9,Datos!J9+Datos!Z9)),IF(J_V="SI",Datos!J9,Datos!J9+Datos!Z9)," - ")</f>
        <v>2812</v>
      </c>
      <c r="F9" s="403">
        <f>IF(ISNUMBER(E9/B9),E9/B9," - ")</f>
        <v>351.5</v>
      </c>
      <c r="G9" s="402">
        <f>IF(ISNUMBER(IF(J_V="SI",Datos!K9,Datos!K9+Datos!AA9)),IF(J_V="SI",Datos!K9,Datos!K9+Datos!AA9)," - ")</f>
        <v>2835</v>
      </c>
      <c r="H9" s="403">
        <f>IF(ISNUMBER(G9/B9),G9/B9," - ")</f>
        <v>354.375</v>
      </c>
      <c r="I9" s="402">
        <f>IF(ISNUMBER(IF(J_V="SI",Datos!L9,Datos!L9+Datos!AB9)),IF(J_V="SI",Datos!L9,Datos!L9+Datos!AB9)," - ")</f>
        <v>12191</v>
      </c>
      <c r="J9" s="403">
        <f>IF(ISNUMBER(I9/B9),I9/B9," - ")</f>
        <v>1523.875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118</v>
      </c>
      <c r="D10" s="403">
        <f>IF(ISNUMBER(C10/Datos!BH10),C10/Datos!BH10," - ")</f>
        <v>118</v>
      </c>
      <c r="E10" s="402">
        <f>IF(ISNUMBER(Datos!J10),Datos!J10," - ")</f>
        <v>41</v>
      </c>
      <c r="F10" s="403">
        <f>IF(ISNUMBER(E10/B10),E10/B10," - ")</f>
        <v>20.5</v>
      </c>
      <c r="G10" s="402">
        <f>IF(ISNUMBER(Datos!K10),Datos!K10," - ")</f>
        <v>43</v>
      </c>
      <c r="H10" s="403">
        <f>IF(ISNUMBER(G10/B10),G10/B10," - ")</f>
        <v>21.5</v>
      </c>
      <c r="I10" s="402">
        <f>IF(ISNUMBER(Datos!L10),Datos!L10," - ")</f>
        <v>116</v>
      </c>
      <c r="J10" s="403">
        <f>IF(ISNUMBER(I10/B10),I10/B10," - ")</f>
        <v>58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12332</v>
      </c>
      <c r="D13" s="847" t="str">
        <f>IF(ISNUMBER(C13/Datos!BI13),C13/Datos!BI13," - ")</f>
        <v xml:space="preserve"> - </v>
      </c>
      <c r="E13" s="846">
        <f>SUBTOTAL(9,E8:E12)</f>
        <v>2853</v>
      </c>
      <c r="F13" s="847">
        <f>IF(ISNUMBER(E13/B13),E13/B13," - ")</f>
        <v>285.3</v>
      </c>
      <c r="G13" s="846">
        <f>SUBTOTAL(9,G8:G12)</f>
        <v>2878</v>
      </c>
      <c r="H13" s="847">
        <f>IF(ISNUMBER(G13/B13),G13/B13," - ")</f>
        <v>287.8</v>
      </c>
      <c r="I13" s="846">
        <f>SUBTOTAL(9,I8:I12)</f>
        <v>12307</v>
      </c>
      <c r="J13" s="847">
        <f>IF(ISNUMBER(I13/B13),I13/B13," - ")</f>
        <v>1230.7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5574</v>
      </c>
      <c r="D15" s="403">
        <f>IF(ISNUMBER(C15/Datos!BH15),C15/Datos!BH15," - ")</f>
        <v>1114.8</v>
      </c>
      <c r="E15" s="402">
        <f>IF(ISNUMBER(IF(D_I="SI",Datos!J15,Datos!J15+Datos!AD15)),IF(D_I="SI",Datos!J15,Datos!J15+Datos!AD15)," - ")</f>
        <v>5177</v>
      </c>
      <c r="F15" s="403">
        <f>IF(ISNUMBER(E15/B15),E15/B15," - ")</f>
        <v>1035.4000000000001</v>
      </c>
      <c r="G15" s="402">
        <f>IF(ISNUMBER(IF(D_I="SI",Datos!K15,Datos!K15+Datos!AE15)),IF(D_I="SI",Datos!K15,Datos!K15+Datos!AE15)," - ")</f>
        <v>5329</v>
      </c>
      <c r="H15" s="403">
        <f>IF(ISNUMBER(G15/B15),G15/B15," - ")</f>
        <v>1065.8</v>
      </c>
      <c r="I15" s="402">
        <f>IF(ISNUMBER(IF(D_I="SI",Datos!L15,Datos!L15+Datos!AF15)),IF(D_I="SI",Datos!L15,Datos!L15+Datos!AF15)," - ")</f>
        <v>5563</v>
      </c>
      <c r="J15" s="403">
        <f>IF(ISNUMBER(I15/B15),I15/B15," - ")</f>
        <v>1112.5999999999999</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435</v>
      </c>
      <c r="D18" s="403">
        <f>IF(ISNUMBER(C18/Datos!BH18),C18/Datos!BH18," - ")</f>
        <v>435</v>
      </c>
      <c r="E18" s="402">
        <f>IF(ISNUMBER(IF(D_I="SI",Datos!J18,Datos!J18+Datos!AD18)),IF(D_I="SI",Datos!J18,Datos!J18+Datos!AD18)," - ")</f>
        <v>408</v>
      </c>
      <c r="F18" s="403">
        <f>IF(ISNUMBER(E18/B18),E18/B18," - ")</f>
        <v>204</v>
      </c>
      <c r="G18" s="402">
        <f>IF(ISNUMBER(IF(D_I="SI",Datos!K18,Datos!K18+Datos!AE18)),IF(D_I="SI",Datos!K18,Datos!K18+Datos!AE18)," - ")</f>
        <v>568</v>
      </c>
      <c r="H18" s="403">
        <f>IF(ISNUMBER(G18/B18),G18/B18," - ")</f>
        <v>284</v>
      </c>
      <c r="I18" s="402">
        <f>IF(ISNUMBER(IF(D_I="SI",Datos!L18,Datos!L18+Datos!AF18)),IF(D_I="SI",Datos!L18,Datos!L18+Datos!AF18)," - ")</f>
        <v>266</v>
      </c>
      <c r="J18" s="403">
        <f>IF(ISNUMBER(I18/B18),I18/B18," - ")</f>
        <v>133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6009</v>
      </c>
      <c r="D19" s="847" t="str">
        <f>IF(ISNUMBER(C19/Datos!BI19),C19/Datos!BI19," - ")</f>
        <v xml:space="preserve"> - </v>
      </c>
      <c r="E19" s="846">
        <f>SUBTOTAL(9,E14:E18)</f>
        <v>5585</v>
      </c>
      <c r="F19" s="847">
        <f>IF(ISNUMBER(E19/B19),E19/B19," - ")</f>
        <v>797.85714285714289</v>
      </c>
      <c r="G19" s="846">
        <f>SUBTOTAL(9,G14:G18)</f>
        <v>5897</v>
      </c>
      <c r="H19" s="847">
        <f>IF(ISNUMBER(G19/B19),G19/B19," - ")</f>
        <v>842.42857142857144</v>
      </c>
      <c r="I19" s="846">
        <f>SUBTOTAL(9,I14:I18)</f>
        <v>5829</v>
      </c>
      <c r="J19" s="847">
        <f>IF(ISNUMBER(I19/B19),I19/B19," - ")</f>
        <v>832.71428571428567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18341</v>
      </c>
      <c r="D20" s="792" t="str">
        <f>IF(ISNUMBER(C20/Datos!BI20),C20/Datos!BI20," - ")</f>
        <v xml:space="preserve"> - </v>
      </c>
      <c r="E20" s="791">
        <f>SUBTOTAL(9,E9:E19)</f>
        <v>8438</v>
      </c>
      <c r="F20" s="792">
        <f>IF(ISNUMBER(E20/B20),E20/B20," - ")</f>
        <v>562.5333333333333</v>
      </c>
      <c r="G20" s="791">
        <f>SUBTOTAL(9,G9:G19)</f>
        <v>8775</v>
      </c>
      <c r="H20" s="792">
        <f>IF(ISNUMBER(G20/B20),G20/B20," - ")</f>
        <v>585</v>
      </c>
      <c r="I20" s="791">
        <f>SUBTOTAL(9,I9:I19)</f>
        <v>18136</v>
      </c>
      <c r="J20" s="792">
        <f>IF(ISNUMBER(I20/B20),I20/B20," - ")</f>
        <v>1209.0666666666666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LjzajwfBwIEUA3rVDinag49MyYzfScDRicDEUjeHoblxmts4ZZw9VgwVUcVb24YJefmnOJAGd25JJE1B+/3vw==" saltValue="f0//k/iQym5oY1mxMrQch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MARBELLA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v>
      </c>
      <c r="D9" s="402">
        <f>Datos!BK9</f>
        <v>0</v>
      </c>
      <c r="E9" s="402">
        <f>Datos!AQ9</f>
        <v>8</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255ID3gWE1XLqBbPMRw8dSocUvpCfUDne4sFIp2+lBeIP1gV2TFykrcOOzZYNZ0WPjpbjC/5Zjla4kTaGPlGA==" saltValue="n0H4vzdQtVeh94d4U+pK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MARBELLA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v>
      </c>
      <c r="C9" s="409">
        <f>Datos!AQ9</f>
        <v>8</v>
      </c>
      <c r="D9" s="402">
        <f>IF(ISNUMBER(Datos!M9),Datos!M9," - ")</f>
        <v>840</v>
      </c>
      <c r="E9" s="403">
        <f t="shared" ref="E9:E13" si="0">IF(ISNUMBER(D9/B9),D9/B9," - ")</f>
        <v>105</v>
      </c>
      <c r="F9" s="402">
        <f>IF(ISNUMBER(Datos!N9),Datos!N9," - ")</f>
        <v>1113</v>
      </c>
      <c r="G9" s="403">
        <f t="shared" ref="G9:G13" si="1">IF(ISNUMBER(F9/B9),F9/B9," - ")</f>
        <v>139.125</v>
      </c>
      <c r="H9" s="402">
        <f>IF(ISNUMBER(Datos!O9),Datos!O9," - ")</f>
        <v>1106</v>
      </c>
      <c r="I9" s="403">
        <f>IF(ISNUMBER(H9/B9),H9/B9," - ")</f>
        <v>138.25</v>
      </c>
      <c r="BZ9" s="1181">
        <f>Datos!EZ9</f>
        <v>0</v>
      </c>
    </row>
    <row r="10" spans="1:78">
      <c r="A10" s="401" t="str">
        <f>Datos!A10</f>
        <v>Sección De Violencia sobre la Mujer del TI</v>
      </c>
      <c r="B10" s="426">
        <f>Datos!AO10</f>
        <v>2</v>
      </c>
      <c r="C10" s="409">
        <f>Datos!AQ10</f>
        <v>2</v>
      </c>
      <c r="D10" s="402">
        <f>IF(ISNUMBER(Datos!M10),Datos!M10," - ")</f>
        <v>17</v>
      </c>
      <c r="E10" s="403">
        <f>IF(ISNUMBER(D10/B10),D10/B10," - ")</f>
        <v>8.5</v>
      </c>
      <c r="F10" s="402">
        <f>IF(ISNUMBER(Datos!N10),Datos!N10," - ")</f>
        <v>22</v>
      </c>
      <c r="G10" s="403">
        <f>IF(ISNUMBER(F10/B10),F10/B10," - ")</f>
        <v>11</v>
      </c>
      <c r="H10" s="402">
        <f>IF(ISNUMBER(Datos!O10),Datos!O10," - ")</f>
        <v>4</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857</v>
      </c>
      <c r="E13" s="847">
        <f t="shared" si="0"/>
        <v>85.7</v>
      </c>
      <c r="F13" s="846">
        <f>SUBTOTAL(9,F9:F12)</f>
        <v>1135</v>
      </c>
      <c r="G13" s="847">
        <f t="shared" si="1"/>
        <v>113.5</v>
      </c>
      <c r="H13" s="846">
        <f>SUBTOTAL(9,H9:H12)</f>
        <v>1110</v>
      </c>
      <c r="I13" s="847">
        <f>IF(ISNUMBER(H13/B13),H13/B13," - ")</f>
        <v>111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407</v>
      </c>
      <c r="E15" s="403">
        <f t="shared" ref="E15:E19" si="3">IF(ISNUMBER(D15/B15),D15/B15," - ")</f>
        <v>81.400000000000006</v>
      </c>
      <c r="F15" s="402">
        <f>IF(ISNUMBER(Datos!N15),Datos!N15," - ")</f>
        <v>3640</v>
      </c>
      <c r="G15" s="403">
        <f t="shared" ref="G15:G19" si="4">IF(ISNUMBER(F15/B15),F15/B15," - ")</f>
        <v>728</v>
      </c>
      <c r="H15" s="402">
        <f>IF(ISNUMBER(Datos!O15),Datos!O15," - ")</f>
        <v>10</v>
      </c>
      <c r="I15" s="403">
        <f t="shared" ref="I15:I18" si="5">IF(ISNUMBER(H15/B15),H15/B15," - ")</f>
        <v>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59</v>
      </c>
      <c r="E18" s="403">
        <f>IF(ISNUMBER(D18/B18),D18/B18," - ")</f>
        <v>29.5</v>
      </c>
      <c r="F18" s="402">
        <f>IF(ISNUMBER(Datos!N18),Datos!N18," - ")</f>
        <v>397</v>
      </c>
      <c r="G18" s="403">
        <f>IF(ISNUMBER(F18/B18),F18/B18," - ")</f>
        <v>198.5</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466</v>
      </c>
      <c r="E19" s="847">
        <f t="shared" si="3"/>
        <v>66.571428571428569</v>
      </c>
      <c r="F19" s="846">
        <f>SUBTOTAL(9,F15:F18)</f>
        <v>4037</v>
      </c>
      <c r="G19" s="847">
        <f t="shared" si="4"/>
        <v>576.71428571428567</v>
      </c>
      <c r="H19" s="846">
        <f>SUBTOTAL(9,H15:H18)</f>
        <v>10</v>
      </c>
      <c r="I19" s="847">
        <f>IF(ISNUMBER(H19/B19),H19/B19," - ")</f>
        <v>1.4285714285714286</v>
      </c>
      <c r="BZ19" s="1181"/>
    </row>
    <row r="20" spans="1:78" ht="14.25" thickTop="1" thickBot="1">
      <c r="A20" s="790" t="str">
        <f>Datos!A20</f>
        <v>TOTAL JURISDICCIONES</v>
      </c>
      <c r="B20" s="791">
        <f>Datos!AP20</f>
        <v>15</v>
      </c>
      <c r="C20" s="791">
        <f>Datos!AR20</f>
        <v>15</v>
      </c>
      <c r="D20" s="791">
        <f>SUBTOTAL(9,D8:D19)</f>
        <v>1323</v>
      </c>
      <c r="E20" s="792">
        <f>IF(ISNUMBER(D20/B20),D20/B20," - ")</f>
        <v>88.2</v>
      </c>
      <c r="F20" s="791">
        <f>SUBTOTAL(9,F8:F19)</f>
        <v>5172</v>
      </c>
      <c r="G20" s="792">
        <f>IF(ISNUMBER(F20/B20),F20/B20," - ")</f>
        <v>344.8</v>
      </c>
      <c r="H20" s="791">
        <f>SUBTOTAL(9,H8:H19)</f>
        <v>1120</v>
      </c>
      <c r="I20" s="792">
        <f>IF(ISNUMBER(H20/B20),H20/B20," - ")</f>
        <v>74.666666666666671</v>
      </c>
    </row>
    <row r="23" spans="1:78">
      <c r="A23" s="390" t="str">
        <f>Criterios!A4</f>
        <v>Fecha Informe: 06 oct. 2026</v>
      </c>
    </row>
    <row r="28" spans="1:78">
      <c r="A28" s="413"/>
    </row>
  </sheetData>
  <sheetProtection algorithmName="SHA-512" hashValue="1ALzAY5vDf/Ib8pJa/ibYrrV78IEwqVqmrZ4ilhn+ayQqlAjJe+7v9FQWRNiD3YgAQcUlmvzmhXel1toQcNIxQ==" saltValue="hIGCr9xGHoxTHgADwmrJm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MARBELLA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638</v>
      </c>
      <c r="C9" s="433">
        <f>IF(ISNUMBER(Datos!Q9),Datos!Q9," - ")</f>
        <v>361</v>
      </c>
      <c r="D9" s="407">
        <f>IF(ISNUMBER(Datos!R9),Datos!R9," - ")</f>
        <v>13729</v>
      </c>
    </row>
    <row r="10" spans="1:4">
      <c r="A10" s="401" t="str">
        <f>Datos!A10</f>
        <v>Sección De Violencia sobre la Mujer del TI</v>
      </c>
      <c r="B10" s="432">
        <f>IF(ISNUMBER(Datos!P10),Datos!P10," - ")</f>
        <v>6</v>
      </c>
      <c r="C10" s="433">
        <f>IF(ISNUMBER(Datos!Q10),Datos!Q10," - ")</f>
        <v>1</v>
      </c>
      <c r="D10" s="407">
        <f>IF(ISNUMBER(Datos!R10),Datos!R10," - ")</f>
        <v>55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644</v>
      </c>
      <c r="C13" s="850">
        <f>SUBTOTAL(9,C9:C12)</f>
        <v>362</v>
      </c>
      <c r="D13" s="848">
        <f>SUBTOTAL(9,D9:D12)</f>
        <v>13784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117</v>
      </c>
      <c r="C15" s="433">
        <f>IF(ISNUMBER(Datos!Q15),Datos!Q15," - ")</f>
        <v>70</v>
      </c>
      <c r="D15" s="407">
        <f>IF(ISNUMBER(Datos!R15),Datos!R15," - ")</f>
        <v>269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16</v>
      </c>
      <c r="C18" s="433">
        <f>IF(ISNUMBER(Datos!Q18),Datos!Q18," - ")</f>
        <v>10</v>
      </c>
      <c r="D18" s="407">
        <f>IF(ISNUMBER(Datos!R18),Datos!R18," - ")</f>
        <v>30</v>
      </c>
    </row>
    <row r="19" spans="1:4" ht="14.25" thickTop="1" thickBot="1">
      <c r="A19" s="845" t="str">
        <f>Datos!A19</f>
        <v>TOTAL</v>
      </c>
      <c r="B19" s="846">
        <f>SUBTOTAL(9,B15:B18)</f>
        <v>133</v>
      </c>
      <c r="C19" s="850">
        <f>SUBTOTAL(9,C15:C18)</f>
        <v>80</v>
      </c>
      <c r="D19" s="848">
        <f>SUBTOTAL(9,D15:D18)</f>
        <v>299</v>
      </c>
    </row>
    <row r="20" spans="1:4" ht="16.5" customHeight="1" thickTop="1" thickBot="1">
      <c r="A20" s="790" t="str">
        <f>Datos!A20</f>
        <v>TOTAL JURISDICCIONES</v>
      </c>
      <c r="B20" s="795">
        <f>SUBTOTAL(9,B8:B19)</f>
        <v>777</v>
      </c>
      <c r="C20" s="796">
        <f>SUBTOTAL(9,C8:C19)</f>
        <v>442</v>
      </c>
      <c r="D20" s="797">
        <f>SUBTOTAL(9,D8:D19)</f>
        <v>14083</v>
      </c>
    </row>
    <row r="21" spans="1:4" ht="7.5" customHeight="1"/>
    <row r="22" spans="1:4" ht="6" customHeight="1"/>
    <row r="23" spans="1:4">
      <c r="A23" s="390" t="str">
        <f>Criterios!A4</f>
        <v>Fecha Informe: 06 oct. 2026</v>
      </c>
    </row>
    <row r="28" spans="1:4">
      <c r="A28" s="413"/>
    </row>
  </sheetData>
  <sheetProtection algorithmName="SHA-512" hashValue="AiOHaXRCMpsnZNNc6EM17k3bsrpXyZda34P7FsesPpXNc6MW856nEd7FsxiT0nmv1tJttZrxdzb/uRf4nz+PcQ==" saltValue="rGze0K52cEK6i+ihqo3bl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MARBELLA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-0.12563533538549645</v>
      </c>
      <c r="C9" s="455">
        <f>IF(ISNUMBER(
   IF(J_V="SI",(Datos!J9-Datos!T9)/Datos!T9,(Datos!J9+Datos!Z9-(Datos!T9+Datos!AH9))/(Datos!T9+Datos!AH9))
     ),IF(J_V="SI",(Datos!J9-Datos!T9)/Datos!T9,(Datos!J9+Datos!Z9-(Datos!T9+Datos!AH9))/(Datos!T9+Datos!AH9))," - ")</f>
        <v>0.2910927456382002</v>
      </c>
      <c r="D9" s="455">
        <f>IF(ISNUMBER(
   IF(J_V="SI",(Datos!K9-Datos!U9)/Datos!U9,(Datos!K9+Datos!AA9-(Datos!U9+Datos!AI9))/(Datos!U9+Datos!AI9))
     ),IF(J_V="SI",(Datos!K9-Datos!U9)/Datos!U9,(Datos!K9+Datos!AA9-(Datos!U9+Datos!AI9))/(Datos!U9+Datos!AI9))," - ")</f>
        <v>-0.24480554075652639</v>
      </c>
      <c r="E9" s="455">
        <f>IF(ISNUMBER(
   IF(J_V="SI",(Datos!L9-Datos!V9)/Datos!V9,(Datos!L9+Datos!AB9-(Datos!V9+Datos!AJ9))/(Datos!V9+Datos!AJ9))
     ),IF(J_V="SI",(Datos!L9-Datos!V9)/Datos!V9,(Datos!L9+Datos!AB9-(Datos!V9+Datos!AJ9))/(Datos!V9+Datos!AJ9))," - ")</f>
        <v>-1.6616923449221586E-2</v>
      </c>
      <c r="F9" s="455">
        <f>IF(ISNUMBER((Datos!M9-Datos!W9)/Datos!W9),(Datos!M9-Datos!W9)/Datos!W9," - ")</f>
        <v>-6.0402684563758392E-2</v>
      </c>
      <c r="G9" s="456">
        <f>IF(ISNUMBER((Datos!N9-Datos!X9)/Datos!X9),(Datos!N9-Datos!X9)/Datos!X9," - ")</f>
        <v>-0.32504548211036993</v>
      </c>
      <c r="H9" s="454">
        <f>IF(ISNUMBER(((NºAsuntos!G9/NºAsuntos!E9)-Datos!BD9)/Datos!BD9),((NºAsuntos!G9/NºAsuntos!E9)-Datos!BD9)/Datos!BD9," - ")</f>
        <v>-0.41507342381497669</v>
      </c>
      <c r="I9" s="455">
        <f>IF(ISNUMBER(((NºAsuntos!I9/NºAsuntos!G9)-Datos!BE9)/Datos!BE9),((NºAsuntos!I9/NºAsuntos!G9)-Datos!BE9)/Datos!BE9," - ")</f>
        <v>0.30215875462843822</v>
      </c>
      <c r="J9" s="460">
        <f>IF(ISNUMBER((('Resol  Asuntos'!D9/NºAsuntos!G9)-Datos!BF9)/Datos!BF9),(('Resol  Asuntos'!D9/NºAsuntos!G9)-Datos!BF9)/Datos!BF9," - ")</f>
        <v>-0.32547222783729762</v>
      </c>
      <c r="K9" s="461">
        <f>IF(ISNUMBER((((NºAsuntos!C9+NºAsuntos!E9)/NºAsuntos!G9)-Datos!BG9)/Datos!BG9),(((NºAsuntos!C9+NºAsuntos!E9)/NºAsuntos!G9)-Datos!BG9)/Datos!BG9," - ")</f>
        <v>0.23223274175566669</v>
      </c>
    </row>
    <row r="10" spans="1:11" ht="21">
      <c r="A10" s="401" t="str">
        <f>Datos!A10</f>
        <v>Sección De Violencia sobre la Mujer del TI</v>
      </c>
      <c r="B10" s="454">
        <f>IF(ISNUMBER((Datos!I10-Datos!S10)/Datos!S10),(Datos!I10-Datos!S10)/Datos!S10," - ")</f>
        <v>8.2568807339449546E-2</v>
      </c>
      <c r="C10" s="455">
        <f>IF(ISNUMBER((Datos!J10-Datos!T10)/Datos!T10),(Datos!J10-Datos!T10)/Datos!T10," - ")</f>
        <v>-0.1276595744680851</v>
      </c>
      <c r="D10" s="455">
        <f>IF(ISNUMBER((Datos!K10-Datos!U10)/Datos!U10),(Datos!K10-Datos!U10)/Datos!U10," - ")</f>
        <v>-0.21818181818181817</v>
      </c>
      <c r="E10" s="455">
        <f>IF(ISNUMBER((Datos!L10-Datos!V10)/Datos!V10),(Datos!L10-Datos!V10)/Datos!V10," - ")</f>
        <v>0.14851485148514851</v>
      </c>
      <c r="F10" s="455">
        <f>IF(ISNUMBER((Datos!M10-Datos!W10)/Datos!W10),(Datos!M10-Datos!W10)/Datos!W10," - ")</f>
        <v>-0.19047619047619047</v>
      </c>
      <c r="G10" s="456">
        <f>IF(ISNUMBER((Datos!N10-Datos!X10)/Datos!X10),(Datos!N10-Datos!X10)/Datos!X10," - ")</f>
        <v>0</v>
      </c>
      <c r="H10" s="454">
        <f>IF(ISNUMBER(((NºAsuntos!G10/NºAsuntos!E10)-Datos!BD10)/Datos!BD10),((NºAsuntos!G10/NºAsuntos!E10)-Datos!BD10)/Datos!BD10," - ")</f>
        <v>-0.10376940133037692</v>
      </c>
      <c r="I10" s="455">
        <f>IF(ISNUMBER(((NºAsuntos!I10/NºAsuntos!G10)-Datos!BE10)/Datos!BE10),((NºAsuntos!I10/NºAsuntos!G10)-Datos!BE10)/Datos!BE10," - ")</f>
        <v>0.46903062399263173</v>
      </c>
      <c r="J10" s="460">
        <f>IF(ISNUMBER((('Resol  Asuntos'!D10/NºAsuntos!G10)-Datos!BF10)/Datos!BF10),(('Resol  Asuntos'!D10/NºAsuntos!G10)-Datos!BF10)/Datos!BF10," - ")</f>
        <v>3.5437430786267904E-2</v>
      </c>
      <c r="K10" s="461">
        <f>IF(ISNUMBER((((NºAsuntos!C10+NºAsuntos!E10)/NºAsuntos!G10)-Datos!BG10)/Datos!BG10),(((NºAsuntos!C10+NºAsuntos!E10)/NºAsuntos!G10)-Datos!BG10)/Datos!BG10," - ")</f>
        <v>0.30366726296958851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-0.12402329876402898</v>
      </c>
      <c r="C13" s="852">
        <f>IF(ISNUMBER(
   IF(J_V="SI",(Datos!J13-Datos!T13)/Datos!T13,(Datos!J13+Datos!Z13-(Datos!T13+Datos!AH13))/(Datos!T13+Datos!AH13))
     ),IF(J_V="SI",(Datos!J13-Datos!T13)/Datos!T13,(Datos!J13+Datos!Z13-(Datos!T13+Datos!AH13))/(Datos!T13+Datos!AH13))," - ")</f>
        <v>0.28224719101123596</v>
      </c>
      <c r="D13" s="852">
        <f>IF(ISNUMBER(
   IF(J_V="SI",(Datos!K13-Datos!U13)/Datos!U13,(Datos!K13+Datos!AA13-(Datos!U13+Datos!AI13))/(Datos!U13+Datos!AI13))
     ),IF(J_V="SI",(Datos!K13-Datos!U13)/Datos!U13,(Datos!K13+Datos!AA13-(Datos!U13+Datos!AI13))/(Datos!U13+Datos!AI13))," - ")</f>
        <v>-0.24442110790233657</v>
      </c>
      <c r="E13" s="852">
        <f>IF(ISNUMBER(
   IF(J_V="SI",(Datos!L13-Datos!V13)/Datos!V13,(Datos!L13+Datos!AB13-(Datos!V13+Datos!AJ13))/(Datos!V13+Datos!AJ13))
     ),IF(J_V="SI",(Datos!L13-Datos!V13)/Datos!V13,(Datos!L13+Datos!AB13-(Datos!V13+Datos!AJ13))/(Datos!V13+Datos!AJ13))," - ")</f>
        <v>-1.5282445191230598E-2</v>
      </c>
      <c r="F13" s="853">
        <f>IF(ISNUMBER((Datos!M13-Datos!W13)/Datos!W13),(Datos!M13-Datos!W13)/Datos!W13," - ")</f>
        <v>-6.3387978142076501E-2</v>
      </c>
      <c r="G13" s="854">
        <f>IF(ISNUMBER((Datos!N13-Datos!X13)/Datos!X13),(Datos!N13-Datos!X13)/Datos!X13," - ")</f>
        <v>-0.32076600837821662</v>
      </c>
      <c r="H13" s="854">
        <f>IF(ISNUMBER(((NºAsuntos!G13/NºAsuntos!E13)-Datos!BD13)/Datos!BD13),((NºAsuntos!G13/NºAsuntos!E13)-Datos!BD13)/Datos!BD13," - ")</f>
        <v>-0.4107385086164384</v>
      </c>
      <c r="I13" s="854">
        <f>IF(ISNUMBER(((NºAsuntos!I13/NºAsuntos!G13)-Datos!BE13)/Datos!BE13),((NºAsuntos!I13/NºAsuntos!G13)-Datos!BE13)/Datos!BE13," - ")</f>
        <v>0.30326239272640809</v>
      </c>
      <c r="J13" s="854">
        <f>IF(ISNUMBER((('Resol  Asuntos'!D13/NºAsuntos!G13)-Datos!BF13)/Datos!BF13),(('Resol  Asuntos'!D13/NºAsuntos!G13)-Datos!BF13)/Datos!BF13," - ")</f>
        <v>-0.32082055485970379</v>
      </c>
      <c r="K13" s="854">
        <f>IF(ISNUMBER((((NºAsuntos!C13+NºAsuntos!E13)/NºAsuntos!G13)-Datos!BG13)/Datos!BG13),(((NºAsuntos!C13+NºAsuntos!E13)/NºAsuntos!G13)-Datos!BG13)/Datos!BG13," - ")</f>
        <v>0.23272853979602831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0.27814721394175645</v>
      </c>
      <c r="C15" s="455">
        <f>IF(ISNUMBER(
   IF(D_I="SI",(Datos!J15-Datos!T15)/Datos!T15,(Datos!J15+Datos!AD15-(Datos!T15+Datos!AL15))/(Datos!T15+Datos!AL15))
     ),IF(D_I="SI",(Datos!J15-Datos!T15)/Datos!T15,(Datos!J15+Datos!AD15-(Datos!T15+Datos!AL15))/(Datos!T15+Datos!AL15))," - ")</f>
        <v>2.5961157352358304E-2</v>
      </c>
      <c r="D15" s="455">
        <f>IF(ISNUMBER(
   IF(D_I="SI",(Datos!K15-Datos!U15)/Datos!U15,(Datos!K15+Datos!AE15-(Datos!U15+Datos!AM15))/(Datos!U15+Datos!AM15))
     ),IF(D_I="SI",(Datos!K15-Datos!U15)/Datos!U15,(Datos!K15+Datos!AE15-(Datos!U15+Datos!AM15))/(Datos!U15+Datos!AM15))," - ")</f>
        <v>-7.500468779298706E-4</v>
      </c>
      <c r="E15" s="455">
        <f>IF(ISNUMBER(
   IF(D_I="SI",(Datos!L15-Datos!V15)/Datos!V15,(Datos!L15+Datos!AF15-(Datos!V15+Datos!AN15))/(Datos!V15+Datos!AN15))
     ),IF(D_I="SI",(Datos!L15-Datos!V15)/Datos!V15,(Datos!L15+Datos!AF15-(Datos!V15+Datos!AN15))/(Datos!V15+Datos!AN15))," - ")</f>
        <v>0.32169161320978856</v>
      </c>
      <c r="F15" s="455">
        <f>IF(ISNUMBER((Datos!M15-Datos!W15)/Datos!W15),(Datos!M15-Datos!W15)/Datos!W15," - ")</f>
        <v>8.533333333333333E-2</v>
      </c>
      <c r="G15" s="456">
        <f>IF(ISNUMBER((Datos!N15-Datos!X15)/Datos!X15),(Datos!N15-Datos!X15)/Datos!X15," - ")</f>
        <v>1.7612524461839529E-2</v>
      </c>
      <c r="H15" s="454">
        <f>IF(ISNUMBER(((NºAsuntos!G15/NºAsuntos!E15)-Datos!BD15)/Datos!BD15),((NºAsuntos!G15/NºAsuntos!E15)-Datos!BD15)/Datos!BD15," - ")</f>
        <v>-2.6035297768212087E-2</v>
      </c>
      <c r="I15" s="455">
        <f>IF(ISNUMBER(((NºAsuntos!I15/NºAsuntos!G15)-Datos!BE15)/Datos!BE15),((NºAsuntos!I15/NºAsuntos!G15)-Datos!BE15)/Datos!BE15," - ")</f>
        <v>0.32268368798044689</v>
      </c>
      <c r="J15" s="460">
        <f>IF(ISNUMBER((('Resol  Asuntos'!D15/NºAsuntos!G15)-Datos!BF15)/Datos!BF15),(('Resol  Asuntos'!D15/NºAsuntos!G15)-Datos!BF15)/Datos!BF15," - ")</f>
        <v>8.6147995246137449E-2</v>
      </c>
      <c r="K15" s="461">
        <f>IF(ISNUMBER((((NºAsuntos!C15+NºAsuntos!E15)/NºAsuntos!G15)-Datos!BG15)/Datos!BG15),(((NºAsuntos!C15+NºAsuntos!E15)/NºAsuntos!G15)-Datos!BG15)/Datos!BG15," - ")</f>
        <v>0.14373018036759416</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-0.26146010186757218</v>
      </c>
      <c r="C18" s="455">
        <f>IF(ISNUMBER(
   IF(D_I="SI",(Datos!J18-Datos!T18)/Datos!T18,(Datos!J18+Datos!AD18-(Datos!T18+Datos!AL18))/(Datos!T18+Datos!AL18))
     ),IF(D_I="SI",(Datos!J18-Datos!T18)/Datos!T18,(Datos!J18+Datos!AD18-(Datos!T18+Datos!AL18))/(Datos!T18+Datos!AL18))," - ")</f>
        <v>-0.20776699029126214</v>
      </c>
      <c r="D18" s="455">
        <f>IF(ISNUMBER(
   IF(D_I="SI",(Datos!K18-Datos!U18)/Datos!U18,(Datos!K18+Datos!AE18-(Datos!U18+Datos!AM18))/(Datos!U18+Datos!AM18))
     ),IF(D_I="SI",(Datos!K18-Datos!U18)/Datos!U18,(Datos!K18+Datos!AE18-(Datos!U18+Datos!AM18))/(Datos!U18+Datos!AM18))," - ")</f>
        <v>5.9701492537313432E-2</v>
      </c>
      <c r="E18" s="455">
        <f>IF(ISNUMBER(
   IF(D_I="SI",(Datos!L18-Datos!V18)/Datos!V18,(Datos!L18+Datos!AF18-(Datos!V18+Datos!AN18))/(Datos!V18+Datos!AN18))
     ),IF(D_I="SI",(Datos!L18-Datos!V18)/Datos!V18,(Datos!L18+Datos!AF18-(Datos!V18+Datos!AN18))/(Datos!V18+Datos!AN18))," - ")</f>
        <v>-0.53169014084507038</v>
      </c>
      <c r="F18" s="455">
        <f>IF(ISNUMBER((Datos!M18-Datos!W18)/Datos!W18),(Datos!M18-Datos!W18)/Datos!W18," - ")</f>
        <v>0.31111111111111112</v>
      </c>
      <c r="G18" s="456">
        <f>IF(ISNUMBER((Datos!N18-Datos!X18)/Datos!X18),(Datos!N18-Datos!X18)/Datos!X18," - ")</f>
        <v>7.5880758807588072E-2</v>
      </c>
      <c r="H18" s="454">
        <f>IF(ISNUMBER(((NºAsuntos!G18/NºAsuntos!E18)-Datos!BD18)/Datos!BD18),((NºAsuntos!G18/NºAsuntos!E18)-Datos!BD18)/Datos!BD18," - ")</f>
        <v>0.33761340357038322</v>
      </c>
      <c r="I18" s="455">
        <f>IF(ISNUMBER(((NºAsuntos!I18/NºAsuntos!G18)-Datos!BE18)/Datos!BE18),((NºAsuntos!I18/NºAsuntos!G18)-Datos!BE18)/Datos!BE18," - ")</f>
        <v>-0.55807379488196796</v>
      </c>
      <c r="J18" s="460">
        <f>IF(ISNUMBER((('Resol  Asuntos'!D18/NºAsuntos!G18)-Datos!BF18)/Datos!BF18),(('Resol  Asuntos'!D18/NºAsuntos!G18)-Datos!BF18)/Datos!BF18," - ")</f>
        <v>0.2372456964006259</v>
      </c>
      <c r="K18" s="461">
        <f>IF(ISNUMBER((((NºAsuntos!C18+NºAsuntos!E18)/NºAsuntos!G18)-Datos!BG18)/Datos!BG18),(((NºAsuntos!C18+NºAsuntos!E18)/NºAsuntos!G18)-Datos!BG18)/Datos!BG18," - ")</f>
        <v>-0.27943202694427444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0.21393939393939393</v>
      </c>
      <c r="C19" s="852">
        <f>IF(ISNUMBER(
   IF(Criterios!B14="SI",(Datos!J19-Datos!T19)/Datos!T19,(Datos!J19+Datos!AD19-(Datos!T19+Datos!AL19))/(Datos!T19+Datos!AL19))
     ),IF(Criterios!B14="SI",(Datos!J19-Datos!T19)/Datos!T19,(Datos!J19+Datos!AD19-(Datos!T19+Datos!AL19))/(Datos!T19+Datos!AL19))," - ")</f>
        <v>4.3157705448660317E-3</v>
      </c>
      <c r="D19" s="852">
        <f>IF(ISNUMBER(
   IF(Criterios!B14="SI",(Datos!K19-Datos!U19)/Datos!U19,(Datos!K19+Datos!AE19-(Datos!U19+Datos!AM19))/(Datos!U19+Datos!AM19))
     ),IF(Criterios!B14="SI",(Datos!K19-Datos!U19)/Datos!U19,(Datos!K19+Datos!AE19-(Datos!U19+Datos!AM19))/(Datos!U19+Datos!AM19))," - ")</f>
        <v>4.7708297836087923E-3</v>
      </c>
      <c r="E19" s="852">
        <f>IF(ISNUMBER(
   IF(Criterios!B14="SI",(Datos!L19-Datos!V19)/Datos!V19,(Datos!L19+Datos!AF19-(Datos!V19+Datos!AN19))/(Datos!V19+Datos!AN19))
     ),IF(Criterios!B14="SI",(Datos!L19-Datos!V19)/Datos!V19,(Datos!L19+Datos!AF19-(Datos!V19+Datos!AN19))/(Datos!V19+Datos!AN19))," - ")</f>
        <v>0.22022189658781663</v>
      </c>
      <c r="F19" s="853">
        <f>IF(ISNUMBER((Datos!M19-Datos!W19)/Datos!W19),(Datos!M19-Datos!W19)/Datos!W19," - ")</f>
        <v>0.10952380952380952</v>
      </c>
      <c r="G19" s="854">
        <f>IF(ISNUMBER((Datos!N19-Datos!X19)/Datos!X19),(Datos!N19-Datos!X19)/Datos!X19," - ")</f>
        <v>2.3061327927014697E-2</v>
      </c>
      <c r="H19" s="854">
        <f>IF(ISNUMBER(((NºAsuntos!G19/NºAsuntos!E19)-Datos!BD19)/Datos!BD19),((NºAsuntos!G19/NºAsuntos!E19)-Datos!BD19)/Datos!BD19," - ")</f>
        <v>4.5310374693786996E-4</v>
      </c>
      <c r="I19" s="854">
        <f>IF(ISNUMBER(((NºAsuntos!I19/NºAsuntos!G19)-Datos!BE19)/Datos!BE19),((NºAsuntos!I19/NºAsuntos!G19)-Datos!BE19)/Datos!BE19," - ")</f>
        <v>0.21442806699574288</v>
      </c>
      <c r="J19" s="854">
        <f>IF(ISNUMBER((('Resol  Asuntos'!D19/NºAsuntos!G19)-Datos!BF19)/Datos!BF19),(('Resol  Asuntos'!D19/NºAsuntos!G19)-Datos!BF19)/Datos!BF19," - ")</f>
        <v>0.10425559404701336</v>
      </c>
      <c r="K19" s="854">
        <f>IF(ISNUMBER((((NºAsuntos!C19+NºAsuntos!E19)/NºAsuntos!G19)-Datos!BG19)/Datos!BG19),(((NºAsuntos!C19+NºAsuntos!E19)/NºAsuntos!G19)-Datos!BG19)/Datos!BG19," - ")</f>
        <v>9.7797510741873817E-2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-3.6104687828463315E-2</v>
      </c>
      <c r="C20" s="799">
        <f>IF(ISNUMBER(
   IF(J_V="SI",(Datos!J20-Datos!T20)/Datos!T20,(Datos!J20+Datos!Z20-(Datos!T20+Datos!AH20))/(Datos!T20+Datos!AH20))
     ),IF(J_V="SI",(Datos!J20-Datos!T20)/Datos!T20,(Datos!J20+Datos!Z20-(Datos!T20+Datos!AH20))/(Datos!T20+Datos!AH20))," - ")</f>
        <v>8.3740046236835342E-2</v>
      </c>
      <c r="D20" s="799">
        <f>IF(ISNUMBER(
   IF(J_V="SI",(Datos!K20-Datos!U20)/Datos!U20,(Datos!K20+Datos!AA20-(Datos!U20+Datos!AI20))/(Datos!U20+Datos!AI20))
     ),IF(J_V="SI",(Datos!K20-Datos!U20)/Datos!U20,(Datos!K20+Datos!AA20-(Datos!U20+Datos!AI20))/(Datos!U20+Datos!AI20))," - ")</f>
        <v>-9.3304401735895839E-2</v>
      </c>
      <c r="E20" s="799">
        <f>IF(ISNUMBER(
   IF(J_V="SI",(Datos!L20-Datos!V20)/Datos!V20,(Datos!L20+Datos!AB20-(Datos!V20+Datos!AJ20))/(Datos!V20+Datos!AJ20))
     ),IF(J_V="SI",(Datos!L20-Datos!V20)/Datos!V20,(Datos!L20+Datos!AB20-(Datos!V20+Datos!AJ20))/(Datos!V20+Datos!AJ20))," - ")</f>
        <v>4.9840810419681622E-2</v>
      </c>
      <c r="F20" s="800">
        <f>IF(ISNUMBER((Datos!M20-Datos!W20)/Datos!W20),(Datos!M20-Datos!W20)/Datos!W20," - ")</f>
        <v>-8.988764044943821E-3</v>
      </c>
      <c r="G20" s="801">
        <f>IF(ISNUMBER((Datos!N20-Datos!X20)/Datos!X20),(Datos!N20-Datos!X20)/Datos!X20," - ")</f>
        <v>-7.9223784938579317E-2</v>
      </c>
      <c r="H20" s="802">
        <f>IF(ISNUMBER((Tasas!B20-Datos!BD20)/Datos!BD20),(Tasas!B20-Datos!BD20)/Datos!BD20," - ")</f>
        <v>-0.16336431286035619</v>
      </c>
      <c r="I20" s="803">
        <f>IF(ISNUMBER((Tasas!C20-Datos!BE20)/Datos!BE20),(Tasas!C20-Datos!BE20)/Datos!BE20," - ")</f>
        <v>0.15787571091073255</v>
      </c>
      <c r="J20" s="804">
        <f>IF(ISNUMBER((Tasas!D20-Datos!BF20)/Datos!BF20),(Tasas!D20-Datos!BF20)/Datos!BF20," - ")</f>
        <v>-0.30184468163415534</v>
      </c>
      <c r="K20" s="804">
        <f>IF(ISNUMBER((Tasas!E20-Datos!BG20)/Datos!BG20),(Tasas!E20-Datos!BG20)/Datos!BG20," - ")</f>
        <v>0.10146637265008261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TIGf3wCtySZyzIzNrQFho5QVB9a9oNn/nxVra0ilnqt067Vsfs7wJtZVDF6LrmTEJS3xHXJeVlljj+a+aqu/A==" saltValue="z/MH+jBO5yMLq5IBpgb3J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MARBELLA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1.0081792318634424</v>
      </c>
      <c r="C9" s="442">
        <f>IF(ISNUMBER(NºAsuntos!I9/NºAsuntos!G9),NºAsuntos!I9/NºAsuntos!G9," - ")</f>
        <v>4.3001763668430337</v>
      </c>
      <c r="D9" s="443">
        <f>IF(ISNUMBER('Resol  Asuntos'!D9/NºAsuntos!G9),'Resol  Asuntos'!D9/NºAsuntos!G9," - ")</f>
        <v>0.29629629629629628</v>
      </c>
      <c r="E9" s="444">
        <f>IF(ISNUMBER((NºAsuntos!C9+NºAsuntos!E9)/NºAsuntos!G9),(NºAsuntos!C9+NºAsuntos!E9)/NºAsuntos!G9," - ")</f>
        <v>5.3001763668430337</v>
      </c>
      <c r="G9" s="462"/>
    </row>
    <row r="10" spans="1:7" ht="21">
      <c r="A10" s="401" t="str">
        <f>Datos!A10</f>
        <v>Sección De Violencia sobre la Mujer del TI</v>
      </c>
      <c r="B10" s="441">
        <f>IF(ISNUMBER(NºAsuntos!G10/NºAsuntos!E10),NºAsuntos!G10/NºAsuntos!E10," - ")</f>
        <v>1.0487804878048781</v>
      </c>
      <c r="C10" s="442">
        <f>IF(ISNUMBER(NºAsuntos!I10/NºAsuntos!G10),NºAsuntos!I10/NºAsuntos!G10," - ")</f>
        <v>2.6976744186046511</v>
      </c>
      <c r="D10" s="443">
        <f>IF(ISNUMBER('Resol  Asuntos'!D10/NºAsuntos!G10),'Resol  Asuntos'!D10/NºAsuntos!G10," - ")</f>
        <v>0.39534883720930231</v>
      </c>
      <c r="E10" s="444">
        <f>IF(ISNUMBER((NºAsuntos!C10+NºAsuntos!E10)/NºAsuntos!G10),(NºAsuntos!C10+NºAsuntos!E10)/NºAsuntos!G10," - ")</f>
        <v>3.6976744186046511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1.0087627059235893</v>
      </c>
      <c r="C13" s="856">
        <f>IF(ISNUMBER(NºAsuntos!I13/NºAsuntos!G13),NºAsuntos!I13/NºAsuntos!G13," - ")</f>
        <v>4.2762334954829742</v>
      </c>
      <c r="D13" s="857">
        <f>IF(ISNUMBER('Resol  Asuntos'!D13/NºAsuntos!G13),'Resol  Asuntos'!D13/NºAsuntos!G13," - ")</f>
        <v>0.29777623349548299</v>
      </c>
      <c r="E13" s="858">
        <f>IF(ISNUMBER((NºAsuntos!C13+NºAsuntos!E13)/NºAsuntos!G13),(NºAsuntos!C13+NºAsuntos!E13)/NºAsuntos!G13," - ")</f>
        <v>5.2762334954829742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1.0293606335715666</v>
      </c>
      <c r="C15" s="442">
        <f>IF(ISNUMBER(NºAsuntos!I15/NºAsuntos!G15),NºAsuntos!I15/NºAsuntos!G15," - ")</f>
        <v>1.0439106774254081</v>
      </c>
      <c r="D15" s="443">
        <f>IF(ISNUMBER('Resol  Asuntos'!D15/NºAsuntos!G15),'Resol  Asuntos'!D15/NºAsuntos!G15," - ")</f>
        <v>7.6374554325389379E-2</v>
      </c>
      <c r="E15" s="444">
        <f>IF(ISNUMBER((NºAsuntos!C15+NºAsuntos!E15)/NºAsuntos!G15),(NºAsuntos!C15+NºAsuntos!E15)/NºAsuntos!G15," - ")</f>
        <v>2.0174516794895854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1.392156862745098</v>
      </c>
      <c r="C18" s="442">
        <f>IF(ISNUMBER(NºAsuntos!I18/NºAsuntos!G18),NºAsuntos!I18/NºAsuntos!G18," - ")</f>
        <v>0.46830985915492956</v>
      </c>
      <c r="D18" s="443">
        <f>IF(ISNUMBER('Resol  Asuntos'!D18/NºAsuntos!G18),'Resol  Asuntos'!D18/NºAsuntos!G18," - ")</f>
        <v>0.10387323943661972</v>
      </c>
      <c r="E18" s="444">
        <f>IF(ISNUMBER((NºAsuntos!C18+NºAsuntos!E18)/NºAsuntos!G18),(NºAsuntos!C18+NºAsuntos!E18)/NºAsuntos!G18," - ")</f>
        <v>1.4841549295774648</v>
      </c>
      <c r="G18" s="462"/>
    </row>
    <row r="19" spans="1:7" ht="14.25" thickTop="1" thickBot="1">
      <c r="A19" s="845" t="str">
        <f>Datos!A19</f>
        <v>TOTAL</v>
      </c>
      <c r="B19" s="855">
        <f>IF(ISNUMBER(NºAsuntos!G19/NºAsuntos!E19),NºAsuntos!G19/NºAsuntos!E19," - ")</f>
        <v>1.0558639212175469</v>
      </c>
      <c r="C19" s="856">
        <f>IF(ISNUMBER(NºAsuntos!I19/NºAsuntos!G19),NºAsuntos!I19/NºAsuntos!G19," - ")</f>
        <v>0.98846871290486693</v>
      </c>
      <c r="D19" s="859">
        <f>IF(ISNUMBER('Resol  Asuntos'!D19/NºAsuntos!G19),'Resol  Asuntos'!D19/NºAsuntos!G19," - ")</f>
        <v>7.9023232151941666E-2</v>
      </c>
      <c r="E19" s="858">
        <f>IF(ISNUMBER((NºAsuntos!C19+NºAsuntos!E19)/NºAsuntos!G19),(NºAsuntos!C19+NºAsuntos!E19)/NºAsuntos!G19," - ")</f>
        <v>1.9660844497201968</v>
      </c>
      <c r="G19" s="462"/>
    </row>
    <row r="20" spans="1:7" ht="15.75" customHeight="1" thickTop="1" thickBot="1">
      <c r="A20" s="790" t="str">
        <f>Datos!A20</f>
        <v>TOTAL JURISDICCIONES</v>
      </c>
      <c r="B20" s="805">
        <f>IF(ISNUMBER(NºAsuntos!G20/NºAsuntos!E20),NºAsuntos!G20/NºAsuntos!E20," - ")</f>
        <v>1.0399383740222801</v>
      </c>
      <c r="C20" s="806">
        <f>IF(ISNUMBER(NºAsuntos!I20/NºAsuntos!G20),NºAsuntos!I20/NºAsuntos!G20," - ")</f>
        <v>2.0667806267806266</v>
      </c>
      <c r="D20" s="807">
        <f>IF(ISNUMBER('Resol  Asuntos'!D20/NºAsuntos!G20),'Resol  Asuntos'!D20/NºAsuntos!G20," - ")</f>
        <v>0.15076923076923077</v>
      </c>
      <c r="E20" s="808">
        <f>IF(ISNUMBER((NºAsuntos!C20+NºAsuntos!E20)/NºAsuntos!G20),(NºAsuntos!C20+NºAsuntos!E20)/NºAsuntos!G20," - ")</f>
        <v>3.0517378917378917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k8r4RwJJDvfzlGY2Qj9Yb3o/+AvStQNvdsCEgVJ9sZvur/KkOp2EcSpSwN+3M9x6FkauBOzbXzwx6GuMrOsxQ==" saltValue="HfbZ8oub7byzVWJcZpjS1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MARBELLA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v>
      </c>
      <c r="B9" s="176" t="s">
        <v>247</v>
      </c>
      <c r="C9" s="159" t="str">
        <f>Datos!A9</f>
        <v>Sección Civil del T.I</v>
      </c>
      <c r="D9" s="159"/>
      <c r="E9" s="1020">
        <f>IF(ISNUMBER(Datos!AQ9),Datos!AQ9," - ")</f>
        <v>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638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361</v>
      </c>
      <c r="Y9" s="333">
        <f>SUM(W9:X9)</f>
        <v>361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13729</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840</v>
      </c>
      <c r="AJ9" s="228" t="str">
        <f>IF(ISNUMBER(Datos!BW9),Datos!BW9," - ")</f>
        <v xml:space="preserve"> - </v>
      </c>
      <c r="AK9" s="227" t="str">
        <f>IF(ISNUMBER(Datos!BX9),Datos!BX9," - ")</f>
        <v xml:space="preserve"> - </v>
      </c>
      <c r="AL9" s="242">
        <f>IF(ISNUMBER(NºAsuntos!G9/NºAsuntos!E9),NºAsuntos!G9/NºAsuntos!E9," - ")</f>
        <v>1.0081792318634424</v>
      </c>
      <c r="AM9" s="259">
        <f>IF(ISNUMBER(((NºAsuntos!I9/NºAsuntos!G9)*11)/factor_trimestre),((NºAsuntos!I9/NºAsuntos!G9)*11)/factor_trimestre," - ")</f>
        <v>12.9005291005291</v>
      </c>
      <c r="AN9" s="243">
        <f>IF(ISNUMBER('Resol  Asuntos'!D9/NºAsuntos!G9),'Resol  Asuntos'!D9/NºAsuntos!G9," - ")</f>
        <v>0.29629629629629628</v>
      </c>
      <c r="AO9" s="244">
        <f>IF(ISNUMBER((NºAsuntos!C9+NºAsuntos!E9)/NºAsuntos!G9),(NºAsuntos!C9+NºAsuntos!E9)/NºAsuntos!G9," - ")</f>
        <v>5.3001763668430337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118</v>
      </c>
      <c r="G10" s="332">
        <f>IF(ISNUMBER(Datos!I10),Datos!I10," - ")</f>
        <v>118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43</v>
      </c>
      <c r="X10" s="225">
        <f>IF(ISNUMBER(Datos!Q10),Datos!Q10," - ")</f>
        <v>1</v>
      </c>
      <c r="Y10" s="333">
        <f t="shared" ref="Y10:Y12" si="0">SUM(W10:X10)</f>
        <v>44</v>
      </c>
      <c r="Z10" s="334" t="str">
        <f>IF(ISNUMBER(Datos!CC10),Datos!CC10," - ")</f>
        <v xml:space="preserve"> - </v>
      </c>
      <c r="AA10" s="331">
        <f>IF(ISNUMBER(Datos!L10),Datos!L10,"-")</f>
        <v>116</v>
      </c>
      <c r="AB10" s="333">
        <f>IF(ISNUMBER(Datos!R10),Datos!R10," - ")</f>
        <v>55</v>
      </c>
      <c r="AC10" s="333">
        <f t="shared" ref="AC10:AC12" si="1">IF(ISNUMBER(AA10+AB10),AA10+AB10," - ")</f>
        <v>171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17</v>
      </c>
      <c r="AJ10" s="230" t="str">
        <f>IF(ISNUMBER(Datos!BW10),Datos!BW10," - ")</f>
        <v xml:space="preserve"> - </v>
      </c>
      <c r="AK10" s="231" t="str">
        <f>IF(ISNUMBER(Datos!BX10),Datos!BX10," - ")</f>
        <v xml:space="preserve"> - </v>
      </c>
      <c r="AL10" s="242">
        <f>IF(ISNUMBER(NºAsuntos!G10/NºAsuntos!E10),NºAsuntos!G10/NºAsuntos!E10," - ")</f>
        <v>1.0487804878048781</v>
      </c>
      <c r="AM10" s="259">
        <f>IF(ISNUMBER(((NºAsuntos!I10/NºAsuntos!G10)*11)/factor_trimestre),((NºAsuntos!I10/NºAsuntos!G10)*11)/factor_trimestre," - ")</f>
        <v>8.0930232558139537</v>
      </c>
      <c r="AN10" s="243">
        <f>IF(ISNUMBER('Resol  Asuntos'!D10/NºAsuntos!G10),'Resol  Asuntos'!D10/NºAsuntos!G10," - ")</f>
        <v>0.39534883720930231</v>
      </c>
      <c r="AO10" s="244">
        <f>IF(ISNUMBER((NºAsuntos!C10+NºAsuntos!E10)/NºAsuntos!G10),(NºAsuntos!C10+NºAsuntos!E10)/NºAsuntos!G10," - ")</f>
        <v>3.6976744186046511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118</v>
      </c>
      <c r="G13" s="863">
        <f t="shared" si="3"/>
        <v>118</v>
      </c>
      <c r="H13" s="862">
        <f t="shared" si="3"/>
        <v>0</v>
      </c>
      <c r="I13" s="864">
        <f t="shared" si="3"/>
        <v>0</v>
      </c>
      <c r="J13" s="864">
        <f t="shared" si="3"/>
        <v>0</v>
      </c>
      <c r="K13" s="864">
        <f t="shared" si="3"/>
        <v>0</v>
      </c>
      <c r="L13" s="864">
        <f t="shared" si="3"/>
        <v>644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43</v>
      </c>
      <c r="X13" s="864">
        <f t="shared" si="4"/>
        <v>362</v>
      </c>
      <c r="Y13" s="865">
        <f t="shared" si="4"/>
        <v>405</v>
      </c>
      <c r="Z13" s="865">
        <f t="shared" si="4"/>
        <v>0</v>
      </c>
      <c r="AA13" s="865">
        <f t="shared" si="4"/>
        <v>116</v>
      </c>
      <c r="AB13" s="865">
        <f t="shared" si="4"/>
        <v>13784</v>
      </c>
      <c r="AC13" s="865">
        <f t="shared" si="4"/>
        <v>171</v>
      </c>
      <c r="AD13" s="865">
        <f t="shared" si="4"/>
        <v>0</v>
      </c>
      <c r="AE13" s="869">
        <f t="shared" si="4"/>
        <v>0</v>
      </c>
      <c r="AF13" s="862">
        <f t="shared" si="4"/>
        <v>0</v>
      </c>
      <c r="AG13" s="870">
        <f t="shared" si="4"/>
        <v>0</v>
      </c>
      <c r="AH13" s="867">
        <f t="shared" si="4"/>
        <v>0</v>
      </c>
      <c r="AI13" s="862">
        <f t="shared" si="4"/>
        <v>857</v>
      </c>
      <c r="AJ13" s="864">
        <f t="shared" si="4"/>
        <v>0</v>
      </c>
      <c r="AK13" s="867">
        <f>SUBTOTAL(9,AK9:AK12)</f>
        <v>0</v>
      </c>
      <c r="AL13" s="871">
        <f>IF(ISNUMBER(NºAsuntos!G13/NºAsuntos!E13),NºAsuntos!G13/NºAsuntos!E13," - ")</f>
        <v>1.0087627059235893</v>
      </c>
      <c r="AM13" s="871">
        <f>IF(ISNUMBER(((NºAsuntos!I13/NºAsuntos!G13)*11)/factor_trimestre),((NºAsuntos!I13/NºAsuntos!G13)*11)/factor_trimestre," - ")</f>
        <v>12.828700486448923</v>
      </c>
      <c r="AN13" s="872">
        <f>IF(ISNUMBER('Resol  Asuntos'!D13/NºAsuntos!G13),'Resol  Asuntos'!D13/NºAsuntos!G13," - ")</f>
        <v>0.29777623349548299</v>
      </c>
      <c r="AO13" s="873">
        <f>IF(ISNUMBER((NºAsuntos!C13+NºAsuntos!E13)/NºAsuntos!G13),(NºAsuntos!C13+NºAsuntos!E13)/NºAsuntos!G13," - ")</f>
        <v>5.2762334954829742</v>
      </c>
      <c r="AP13" s="874" t="str">
        <f t="shared" si="2"/>
        <v xml:space="preserve"> - </v>
      </c>
      <c r="AQ13" s="874">
        <f>IF(ISNUMBER((H13-W13+K13)/(F13)),(H13-W13+K13)/(F13)," - ")</f>
        <v>-0.36440677966101692</v>
      </c>
      <c r="AR13" s="875">
        <f>IF(ISNUMBER((Datos!P13-Datos!Q13)/(Datos!R13-Datos!P13+Datos!Q13)),(Datos!P13-Datos!Q13)/(Datos!R13-Datos!P13+Datos!Q13)," - ")</f>
        <v>2.0885794697081912E-2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5715</v>
      </c>
      <c r="G15" s="332">
        <f>IF(ISNUMBER(IF(D_I="SI",Datos!I15,Datos!I15+Datos!AC15)),IF(D_I="SI",Datos!I15,Datos!I15+Datos!AC15)," - ")</f>
        <v>5574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117</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5329</v>
      </c>
      <c r="X15" s="225">
        <f>IF(ISNUMBER(Datos!Q15),Datos!Q15," - ")</f>
        <v>70</v>
      </c>
      <c r="Y15" s="333">
        <f>SUM(W15)</f>
        <v>5329</v>
      </c>
      <c r="Z15" s="334" t="str">
        <f>IF(ISNUMBER(Datos!CC15),Datos!CC15," - ")</f>
        <v xml:space="preserve"> - </v>
      </c>
      <c r="AA15" s="331">
        <f>IF(ISNUMBER(IF(D_I="SI",Datos!L15,Datos!L15+Datos!AF15)),IF(D_I="SI",Datos!L15,Datos!L15+Datos!AF15)," - ")</f>
        <v>5563</v>
      </c>
      <c r="AB15" s="333">
        <f>IF(ISNUMBER(Datos!R15),Datos!R15," - ")</f>
        <v>269</v>
      </c>
      <c r="AC15" s="333">
        <f t="shared" ref="AC15:AC18" si="6">IF(ISNUMBER(AA15+AB15),AA15+AB15," - ")</f>
        <v>5832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407</v>
      </c>
      <c r="AJ15" s="230" t="str">
        <f>IF(ISNUMBER(Datos!BW15),Datos!BW15," - ")</f>
        <v xml:space="preserve"> - </v>
      </c>
      <c r="AK15" s="231" t="str">
        <f>IF(ISNUMBER(Datos!BX15),Datos!BX15," - ")</f>
        <v xml:space="preserve"> - </v>
      </c>
      <c r="AL15" s="242">
        <f>IF(ISNUMBER(NºAsuntos!G15/NºAsuntos!E15),NºAsuntos!G15/NºAsuntos!E15," - ")</f>
        <v>1.0293606335715666</v>
      </c>
      <c r="AM15" s="259">
        <f>IF(ISNUMBER(((NºAsuntos!I15/NºAsuntos!G15)*11)/factor_trimestre),((NºAsuntos!I15/NºAsuntos!G15)*11)/factor_trimestre," - ")</f>
        <v>3.1317320322762243</v>
      </c>
      <c r="AN15" s="243">
        <f>IF(ISNUMBER('Resol  Asuntos'!D15/NºAsuntos!G15),'Resol  Asuntos'!D15/NºAsuntos!G15," - ")</f>
        <v>7.6374554325389379E-2</v>
      </c>
      <c r="AO15" s="244">
        <f>IF(ISNUMBER((NºAsuntos!C15+NºAsuntos!E15)/NºAsuntos!G15),(NºAsuntos!C15+NºAsuntos!E15)/NºAsuntos!G15," - ")</f>
        <v>2.0174516794895854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435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568</v>
      </c>
      <c r="X18" s="225">
        <f>IF(ISNUMBER(Datos!Q18),Datos!Q18," - ")</f>
        <v>10</v>
      </c>
      <c r="Y18" s="333">
        <f t="shared" si="9"/>
        <v>578</v>
      </c>
      <c r="Z18" s="334" t="str">
        <f>IF(ISNUMBER(Datos!CC18),Datos!CC18," - ")</f>
        <v xml:space="preserve"> - </v>
      </c>
      <c r="AA18" s="331">
        <f>IF(ISNUMBER(Datos!L18),Datos!L18,"-")</f>
        <v>266</v>
      </c>
      <c r="AB18" s="333">
        <f>IF(ISNUMBER(Datos!R18),Datos!R18," - ")</f>
        <v>30</v>
      </c>
      <c r="AC18" s="333">
        <f t="shared" si="6"/>
        <v>296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59</v>
      </c>
      <c r="AJ18" s="230" t="str">
        <f>IF(ISNUMBER(Datos!BW18),Datos!BW18," - ")</f>
        <v xml:space="preserve"> - </v>
      </c>
      <c r="AK18" s="231" t="str">
        <f>IF(ISNUMBER(Datos!BX18),Datos!BX18," - ")</f>
        <v xml:space="preserve"> - </v>
      </c>
      <c r="AL18" s="242">
        <f>IF(ISNUMBER(NºAsuntos!G18/NºAsuntos!E18),NºAsuntos!G18/NºAsuntos!E18," - ")</f>
        <v>1.392156862745098</v>
      </c>
      <c r="AM18" s="259">
        <f>IF(ISNUMBER(((NºAsuntos!I18/NºAsuntos!G18)*11)/factor_trimestre),((NºAsuntos!I18/NºAsuntos!G18)*11)/factor_trimestre," - ")</f>
        <v>1.4049295774647887</v>
      </c>
      <c r="AN18" s="243">
        <f>IF(ISNUMBER('Resol  Asuntos'!D18/NºAsuntos!G18),'Resol  Asuntos'!D18/NºAsuntos!G18," - ")</f>
        <v>0.10387323943661972</v>
      </c>
      <c r="AO18" s="244">
        <f>IF(ISNUMBER((NºAsuntos!C18+NºAsuntos!E18)/NºAsuntos!G18),(NºAsuntos!C18+NºAsuntos!E18)/NºAsuntos!G18," - ")</f>
        <v>1.4841549295774648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5715</v>
      </c>
      <c r="G19" s="863">
        <f>SUBTOTAL(9,G15:G18)</f>
        <v>6009</v>
      </c>
      <c r="H19" s="862">
        <f t="shared" ref="H19:O19" si="12">SUBTOTAL(9,H14:H18)</f>
        <v>0</v>
      </c>
      <c r="I19" s="864">
        <f t="shared" si="12"/>
        <v>0</v>
      </c>
      <c r="J19" s="864">
        <f t="shared" si="12"/>
        <v>0</v>
      </c>
      <c r="K19" s="864">
        <f t="shared" si="12"/>
        <v>0</v>
      </c>
      <c r="L19" s="864">
        <f t="shared" si="12"/>
        <v>133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5897</v>
      </c>
      <c r="X19" s="864">
        <f t="shared" si="13"/>
        <v>80</v>
      </c>
      <c r="Y19" s="865">
        <f t="shared" si="13"/>
        <v>5907</v>
      </c>
      <c r="Z19" s="865">
        <f t="shared" si="13"/>
        <v>0</v>
      </c>
      <c r="AA19" s="865">
        <f t="shared" si="13"/>
        <v>5829</v>
      </c>
      <c r="AB19" s="865">
        <f t="shared" si="13"/>
        <v>299</v>
      </c>
      <c r="AC19" s="865">
        <f t="shared" si="13"/>
        <v>6128</v>
      </c>
      <c r="AD19" s="865">
        <f t="shared" si="13"/>
        <v>0</v>
      </c>
      <c r="AE19" s="869">
        <f t="shared" si="13"/>
        <v>0</v>
      </c>
      <c r="AF19" s="862">
        <f t="shared" si="13"/>
        <v>0</v>
      </c>
      <c r="AG19" s="870">
        <f t="shared" si="13"/>
        <v>0</v>
      </c>
      <c r="AH19" s="867">
        <f t="shared" si="13"/>
        <v>0</v>
      </c>
      <c r="AI19" s="862">
        <f t="shared" si="13"/>
        <v>466</v>
      </c>
      <c r="AJ19" s="864">
        <f t="shared" si="13"/>
        <v>0</v>
      </c>
      <c r="AK19" s="867">
        <f t="shared" si="13"/>
        <v>0</v>
      </c>
      <c r="AL19" s="871">
        <f>IF(ISNUMBER(NºAsuntos!G19/NºAsuntos!E19),NºAsuntos!G19/NºAsuntos!E19," - ")</f>
        <v>1.0558639212175469</v>
      </c>
      <c r="AM19" s="871">
        <f>IF(ISNUMBER(((NºAsuntos!I19/NºAsuntos!G19)*11)/factor_trimestre),((NºAsuntos!I19/NºAsuntos!G19)*11)/factor_trimestre," - ")</f>
        <v>2.9654061387146009</v>
      </c>
      <c r="AN19" s="872">
        <f>IF(ISNUMBER('Resol  Asuntos'!D19/NºAsuntos!G19),'Resol  Asuntos'!D19/NºAsuntos!G19," - ")</f>
        <v>7.9023232151941666E-2</v>
      </c>
      <c r="AO19" s="873">
        <f>IF(ISNUMBER((NºAsuntos!C19+NºAsuntos!E19)/NºAsuntos!G19),(NºAsuntos!C19+NºAsuntos!E19)/NºAsuntos!G19," - ")</f>
        <v>1.9660844497201968</v>
      </c>
      <c r="AP19" s="874" t="str">
        <f t="shared" si="2"/>
        <v xml:space="preserve"> - </v>
      </c>
      <c r="AQ19" s="874">
        <f>IF(ISNUMBER((H19-W19+K19)/(F19)),(H19-W19+K19)/(F19)," - ")</f>
        <v>-1.031846019247594</v>
      </c>
      <c r="AR19" s="875">
        <f>IF(ISNUMBER((Datos!P19-Datos!Q19)/(Datos!R19-Datos!P19+Datos!Q19)),(Datos!P19-Datos!Q19)/(Datos!R19-Datos!P19+Datos!Q19)," - ")</f>
        <v>0.21544715447154472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17</v>
      </c>
      <c r="F20" s="817">
        <f t="shared" si="15"/>
        <v>5833</v>
      </c>
      <c r="G20" s="818">
        <f t="shared" si="15"/>
        <v>6127</v>
      </c>
      <c r="H20" s="817">
        <f t="shared" si="15"/>
        <v>0</v>
      </c>
      <c r="I20" s="819">
        <f t="shared" si="15"/>
        <v>0</v>
      </c>
      <c r="J20" s="819">
        <f t="shared" si="15"/>
        <v>0</v>
      </c>
      <c r="K20" s="878">
        <f t="shared" si="15"/>
        <v>0</v>
      </c>
      <c r="L20" s="819">
        <f t="shared" si="15"/>
        <v>777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5940</v>
      </c>
      <c r="X20" s="818">
        <f t="shared" si="16"/>
        <v>442</v>
      </c>
      <c r="Y20" s="825">
        <f t="shared" si="16"/>
        <v>6312</v>
      </c>
      <c r="Z20" s="825">
        <f t="shared" si="16"/>
        <v>0</v>
      </c>
      <c r="AA20" s="825">
        <f t="shared" si="16"/>
        <v>5945</v>
      </c>
      <c r="AB20" s="825">
        <f t="shared" si="16"/>
        <v>14083</v>
      </c>
      <c r="AC20" s="825">
        <f t="shared" si="16"/>
        <v>6299</v>
      </c>
      <c r="AD20" s="825">
        <f t="shared" si="16"/>
        <v>0</v>
      </c>
      <c r="AE20" s="827">
        <f t="shared" si="16"/>
        <v>0</v>
      </c>
      <c r="AF20" s="828">
        <f t="shared" si="16"/>
        <v>0</v>
      </c>
      <c r="AG20" s="829">
        <f t="shared" si="16"/>
        <v>0</v>
      </c>
      <c r="AH20" s="827">
        <f t="shared" si="16"/>
        <v>0</v>
      </c>
      <c r="AI20" s="817">
        <f t="shared" si="16"/>
        <v>1323</v>
      </c>
      <c r="AJ20" s="817">
        <f t="shared" si="16"/>
        <v>0</v>
      </c>
      <c r="AK20" s="827">
        <f t="shared" si="16"/>
        <v>0</v>
      </c>
      <c r="AL20" s="881">
        <f>IF(ISNUMBER(NºAsuntos!G20/NºAsuntos!E20),NºAsuntos!G20/NºAsuntos!E20," - ")</f>
        <v>1.0399383740222801</v>
      </c>
      <c r="AM20" s="882">
        <f>IF(ISNUMBER(((NºAsuntos!I20/NºAsuntos!G20)*11)/factor_trimestre),((NºAsuntos!I20/NºAsuntos!G20)*11)/factor_trimestre," - ")</f>
        <v>6.2003418803418802</v>
      </c>
      <c r="AN20" s="882">
        <f>IF(ISNUMBER('Resol  Asuntos'!D20/NºAsuntos!G20),'Resol  Asuntos'!D20/NºAsuntos!G20," - ")</f>
        <v>0.15076923076923077</v>
      </c>
      <c r="AO20" s="883">
        <f>IF(ISNUMBER((NºAsuntos!C20+NºAsuntos!E20)/NºAsuntos!G20),(NºAsuntos!C20+NºAsuntos!E20)/NºAsuntos!G20," - ")</f>
        <v>3.0517378917378917</v>
      </c>
      <c r="AP20" s="884" t="str">
        <f t="shared" si="2"/>
        <v xml:space="preserve"> - </v>
      </c>
      <c r="AQ20" s="885">
        <f>IF(OR(ISNUMBER(FIND("01",Criterios!A8,1)),ISNUMBER(FIND("02",Criterios!A8,1)),ISNUMBER(FIND("03",Criterios!A8,1)),ISNUMBER(FIND("04",Criterios!A8,1))),(I20-W20+K20)/(F20-K20),(H20-W20+K20)/(F20-K20))</f>
        <v>-1.0183439053660208</v>
      </c>
      <c r="AR20" s="886">
        <f>IF(ISNUMBER((Datos!P20-Datos!Q20)/(Datos!R20-Datos!P20+Datos!Q20)),(Datos!P20-Datos!Q20)/(Datos!R20-Datos!P20+Datos!Q20)," - ")</f>
        <v>2.43671806808263E-2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2450.8000000000002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3.8064273129653858</v>
      </c>
      <c r="F22" s="251">
        <f>IF(ISNUMBER(STDEV(F8:F19)),STDEV(F8:F19),"-")</f>
        <v>3231.4294566543354</v>
      </c>
      <c r="G22" s="252">
        <f>IF(ISNUMBER(STDEV(G8:G19)),STDEV(G8:G19),"-")</f>
        <v>3056.2447055168864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2969.5240359357254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363.24592220698088</v>
      </c>
      <c r="AJ22" s="251">
        <f t="shared" si="20"/>
        <v>0</v>
      </c>
      <c r="AK22" s="253">
        <f t="shared" si="20"/>
        <v>0</v>
      </c>
      <c r="AL22" s="248">
        <f t="shared" si="20"/>
        <v>0.14908571556792533</v>
      </c>
      <c r="AM22" s="249">
        <f t="shared" si="20"/>
        <v>5.1469381218261567</v>
      </c>
      <c r="AN22" s="249">
        <f t="shared" si="20"/>
        <v>0.13838942286289585</v>
      </c>
      <c r="AO22" s="250">
        <f t="shared" si="20"/>
        <v>1.7196126576266049</v>
      </c>
      <c r="AP22" s="290" t="str">
        <f t="shared" si="20"/>
        <v>-</v>
      </c>
      <c r="AQ22" s="291">
        <f t="shared" si="20"/>
        <v>0.47195081234166131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kX0Mn0HJrl/tpiQaNJjGx6ODj+GnU6nKTaizURpfjulEQ03qcSIGJS7Ih9fHal/NyHB6Hbq2+EQO4RHJBMZAA==" saltValue="4zpOQH3BUmwF7R50rpYB/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MARBELLA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-6.0402684563758392E-2</v>
      </c>
      <c r="I9" s="349">
        <f>IF(ISNUMBER((Tasas!C9-Datos!BE9)/Datos!BE9),(Tasas!C9-Datos!BE9)/Datos!BE9," - ")</f>
        <v>0.30215875462843822</v>
      </c>
      <c r="J9" s="348">
        <f>IF(ISNUMBER((Tasas!D9-Datos!BF9)/Datos!BF9),(Tasas!D9-Datos!BF9)/Datos!BF9," - ")</f>
        <v>-0.32547222783729762</v>
      </c>
      <c r="K9" s="350">
        <f>IF(ISNUMBER((Tasas!E9-Datos!BG9)/Datos!BG9),(Tasas!E9-Datos!BG9)/Datos!BG9," - ")</f>
        <v>0.23223274175566669</v>
      </c>
      <c r="M9" t="e">
        <f>IF(Monitorios="SI",Datos!CE9,0)</f>
        <v>#REF!</v>
      </c>
      <c r="N9" t="e">
        <f>IF(Monitorios="SI",Datos!CF9,0)</f>
        <v>#REF!</v>
      </c>
      <c r="O9" t="e">
        <f>IF(Monitorios="SI",Datos!CG9,0)</f>
        <v>#REF!</v>
      </c>
      <c r="P9" t="e">
        <f>IF(Monitorios="SI",Datos!CH9,0)</f>
        <v>#REF!</v>
      </c>
      <c r="Q9">
        <f>IF(J_V="SI",0,Datos!AG9)</f>
        <v>292</v>
      </c>
      <c r="R9">
        <f>IF(J_V="SI",0,Datos!AH9)</f>
        <v>190</v>
      </c>
      <c r="S9">
        <f>IF(J_V="SI",0,Datos!AI9)</f>
        <v>192</v>
      </c>
      <c r="T9">
        <f>IF(J_V="SI",0,Datos!AJ9)</f>
        <v>290</v>
      </c>
    </row>
    <row r="10" spans="2:20" ht="14.25">
      <c r="B10" s="274" t="s">
        <v>247</v>
      </c>
      <c r="C10" s="7" t="str">
        <f>Datos!A10</f>
        <v>Sección De Violencia sobre la Mujer del TI</v>
      </c>
      <c r="D10" s="351">
        <f>IF(ISNUMBER((Datos!I10-Datos!S10)/Datos!S10),(Datos!I10-Datos!S10)/Datos!S10," - ")</f>
        <v>8.2568807339449546E-2</v>
      </c>
      <c r="E10" s="347">
        <f>IF(ISNUMBER((Datos!J10-Datos!T10)/Datos!T10),(Datos!J10-Datos!T10)/Datos!T10," - ")</f>
        <v>-0.1276595744680851</v>
      </c>
      <c r="F10" s="347">
        <f>IF(ISNUMBER((Datos!K10-Datos!U10)/Datos!U10),(Datos!K10-Datos!U10)/Datos!U10," - ")</f>
        <v>-0.21818181818181817</v>
      </c>
      <c r="G10" s="348">
        <f>IF(ISNUMBER((Datos!L10-Datos!V10)/Datos!V10),(Datos!L10-Datos!V10)/Datos!V10," - ")</f>
        <v>0.14851485148514851</v>
      </c>
      <c r="H10" s="229">
        <f>IF(ISNUMBER((Datos!M10-Datos!W10)/Datos!W10),(Datos!M10-Datos!W10)/Datos!W10," - ")</f>
        <v>-0.19047619047619047</v>
      </c>
      <c r="I10" s="349">
        <f>IF(ISNUMBER((Tasas!C10-Datos!BE10)/Datos!BE10),(Tasas!C10-Datos!BE10)/Datos!BE10," - ")</f>
        <v>0.46903062399263173</v>
      </c>
      <c r="J10" s="348">
        <f>IF(ISNUMBER((Tasas!D10-Datos!BF10)/Datos!BF10),(Tasas!D10-Datos!BF10)/Datos!BF10," - ")</f>
        <v>3.5437430786267904E-2</v>
      </c>
      <c r="K10" s="350">
        <f>IF(ISNUMBER((Tasas!E10-Datos!BG10)/Datos!BG10),(Tasas!E10-Datos!BG10)/Datos!BG10," - ")</f>
        <v>0.30366726296958851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-6.3387978142076501E-2</v>
      </c>
      <c r="I13" s="356">
        <f>IF(ISNUMBER((Tasas!C13-Datos!BE13)/Datos!BE13),(Tasas!C13-Datos!BE13)/Datos!BE13," - ")</f>
        <v>0.30326239272640809</v>
      </c>
      <c r="J13" s="354">
        <f>IF(ISNUMBER((Tasas!D13-Datos!BF13)/Datos!BF13),(Tasas!D13-Datos!BF13)/Datos!BF13," - ")</f>
        <v>-0.32082055485970379</v>
      </c>
      <c r="K13" s="357">
        <f>IF(ISNUMBER((Tasas!E13-Datos!BG13)/Datos!BG13),(Tasas!E13-Datos!BG13)/Datos!BG13," - ")</f>
        <v>0.23272853979602831</v>
      </c>
      <c r="M13" t="e">
        <f>IF(Monitorios="SI",Datos!CE13,0)</f>
        <v>#REF!</v>
      </c>
      <c r="N13" t="e">
        <f>IF(Monitorios="SI",Datos!CF13,0)</f>
        <v>#REF!</v>
      </c>
      <c r="O13" t="e">
        <f>IF(Monitorios="SI",Datos!CG13,0)</f>
        <v>#REF!</v>
      </c>
      <c r="P13" t="e">
        <f>IF(Monitorios="SI",Datos!CH13,0)</f>
        <v>#REF!</v>
      </c>
      <c r="Q13">
        <f>IF(J_V="SI",0,Datos!AG13)</f>
        <v>292</v>
      </c>
      <c r="R13">
        <f>IF(J_V="SI",0,Datos!AH13)</f>
        <v>190</v>
      </c>
      <c r="S13">
        <f>IF(J_V="SI",0,Datos!AI13)</f>
        <v>192</v>
      </c>
      <c r="T13">
        <f>IF(J_V="SI",0,Datos!AJ13)</f>
        <v>290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0.27814721394175645</v>
      </c>
      <c r="E15" s="347">
        <f>IF(ISNUMBER(
   IF(D_I="SI",(Datos!J15-Datos!T15)/Datos!T15,(Datos!J15+Datos!AD15-(Datos!T15+Datos!AL15))/(Datos!T15+Datos!AL15))
     ),IF(D_I="SI",(Datos!J15-Datos!T15)/Datos!T15,(Datos!J15+Datos!AD15-(Datos!T15+Datos!AL15))/(Datos!T15+Datos!AL15))," - ")</f>
        <v>2.5961157352358304E-2</v>
      </c>
      <c r="F15" s="347">
        <f>IF(ISNUMBER(
   IF(D_I="SI",(Datos!K15-Datos!U15)/Datos!U15,(Datos!K15+Datos!AE15-(Datos!U15+Datos!AM15))/(Datos!U15+Datos!AM15))
     ),IF(D_I="SI",(Datos!K15-Datos!U15)/Datos!U15,(Datos!K15+Datos!AE15-(Datos!U15+Datos!AM15))/(Datos!U15+Datos!AM15))," - ")</f>
        <v>-7.500468779298706E-4</v>
      </c>
      <c r="G15" s="348">
        <f>IF(ISNUMBER(
   IF(D_I="SI",(Datos!L15-Datos!V15)/Datos!V15,(Datos!L15+Datos!AF15-(Datos!V15+Datos!AN15))/(Datos!V15+Datos!AN15))
     ),IF(D_I="SI",(Datos!L15-Datos!V15)/Datos!V15,(Datos!L15+Datos!AF15-(Datos!V15+Datos!AN15))/(Datos!V15+Datos!AN15))," - ")</f>
        <v>0.32169161320978856</v>
      </c>
      <c r="H15" s="229">
        <f>IF(ISNUMBER((Datos!M15-Datos!W15)/Datos!W15),(Datos!M15-Datos!W15)/Datos!W15," - ")</f>
        <v>8.533333333333333E-2</v>
      </c>
      <c r="I15" s="349">
        <f>IF(ISNUMBER((Tasas!C15-Datos!BE15)/Datos!BE15),(Tasas!C15-Datos!BE15)/Datos!BE15," - ")</f>
        <v>0.32268368798044689</v>
      </c>
      <c r="J15" s="348">
        <f>IF(ISNUMBER((Tasas!D15-Datos!BF15)/Datos!BF15),(Tasas!D15-Datos!BF15)/Datos!BF15," - ")</f>
        <v>8.6147995246137449E-2</v>
      </c>
      <c r="K15" s="350">
        <f>IF(ISNUMBER((Tasas!E15-Datos!BG15)/Datos!BG15),(Tasas!E15-Datos!BG15)/Datos!BG15," - ")</f>
        <v>0.14373018036759416</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-0.26146010186757218</v>
      </c>
      <c r="E18" s="347">
        <f>IF(ISNUMBER(
   IF(D_I="SI",(Datos!J18-Datos!T18)/Datos!T18,(Datos!J18+Datos!AD18-(Datos!T18+Datos!AL18))/(Datos!T18+Datos!AL18))
     ),IF(D_I="SI",(Datos!J18-Datos!T18)/Datos!T18,(Datos!J18+Datos!AD18-(Datos!T18+Datos!AL18))/(Datos!T18+Datos!AL18))," - ")</f>
        <v>-0.20776699029126214</v>
      </c>
      <c r="F18" s="347">
        <f>IF(ISNUMBER(
   IF(D_I="SI",(Datos!K18-Datos!U18)/Datos!U18,(Datos!K18+Datos!AE18-(Datos!U18+Datos!AM18))/(Datos!U18+Datos!AM18))
     ),IF(D_I="SI",(Datos!K18-Datos!U18)/Datos!U18,(Datos!K18+Datos!AE18-(Datos!U18+Datos!AM18))/(Datos!U18+Datos!AM18))," - ")</f>
        <v>5.9701492537313432E-2</v>
      </c>
      <c r="G18" s="348">
        <f>IF(ISNUMBER(
   IF(D_I="SI",(Datos!L18-Datos!V18)/Datos!V18,(Datos!L18+Datos!AF18-(Datos!V18+Datos!AN18))/(Datos!V18+Datos!AN18))
     ),IF(D_I="SI",(Datos!L18-Datos!V18)/Datos!V18,(Datos!L18+Datos!AF18-(Datos!V18+Datos!AN18))/(Datos!V18+Datos!AN18))," - ")</f>
        <v>-0.53169014084507038</v>
      </c>
      <c r="H18" s="229">
        <f>IF(ISNUMBER((Datos!M18-Datos!W18)/Datos!W18),(Datos!M18-Datos!W18)/Datos!W18," - ")</f>
        <v>0.31111111111111112</v>
      </c>
      <c r="I18" s="349">
        <f>IF(ISNUMBER((Tasas!C18-Datos!BE18)/Datos!BE18),(Tasas!C18-Datos!BE18)/Datos!BE18," - ")</f>
        <v>-0.55807379488196796</v>
      </c>
      <c r="J18" s="348">
        <f>IF(ISNUMBER((Tasas!D18-Datos!BF18)/Datos!BF18),(Tasas!D18-Datos!BF18)/Datos!BF18," - ")</f>
        <v>0.2372456964006259</v>
      </c>
      <c r="K18" s="350">
        <f>IF(ISNUMBER((Tasas!E18-Datos!BG18)/Datos!BG18),(Tasas!E18-Datos!BG18)/Datos!BG18," - ")</f>
        <v>-0.27943202694427444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0.21393939393939393</v>
      </c>
      <c r="E19" s="353">
        <f>IF(ISNUMBER(
   IF(D_I="SI",(Datos!J19-Datos!T19)/Datos!T19,(Datos!J19+Datos!AD19-(Datos!T19+Datos!AL19))/(Datos!T19+Datos!AL19))
     ),IF(D_I="SI",(Datos!J19-Datos!T19)/Datos!T19,(Datos!J19+Datos!AD19-(Datos!T19+Datos!AL19))/(Datos!T19+Datos!AL19))," - ")</f>
        <v>4.3157705448660317E-3</v>
      </c>
      <c r="F19" s="353">
        <f>IF(ISNUMBER(
   IF(D_I="SI",(Datos!K19-Datos!U19)/Datos!U19,(Datos!K19+Datos!AE19-(Datos!U19+Datos!AM19))/(Datos!U19+Datos!AM19))
     ),IF(D_I="SI",(Datos!K19-Datos!U19)/Datos!U19,(Datos!K19+Datos!AE19-(Datos!U19+Datos!AM19))/(Datos!U19+Datos!AM19))," - ")</f>
        <v>4.7708297836087923E-3</v>
      </c>
      <c r="G19" s="354">
        <f>IF(ISNUMBER(
   IF(D_I="SI",(Datos!L19-Datos!V19)/Datos!V19,(Datos!L19+Datos!AF19-(Datos!V19+Datos!AN19))/(Datos!V19+Datos!AN19))
     ),IF(D_I="SI",(Datos!L19-Datos!V19)/Datos!V19,(Datos!L19+Datos!AF19-(Datos!V19+Datos!AN19))/(Datos!V19+Datos!AN19))," - ")</f>
        <v>0.22022189658781663</v>
      </c>
      <c r="H19" s="355">
        <f>IF(ISNUMBER((Datos!M19-Datos!W19)/Datos!W19),(Datos!M19-Datos!W19)/Datos!W19," - ")</f>
        <v>0.10952380952380952</v>
      </c>
      <c r="I19" s="356">
        <f>IF(ISNUMBER((Tasas!C19-Datos!BE19)/Datos!BE19),(Tasas!C19-Datos!BE19)/Datos!BE19," - ")</f>
        <v>0.21442806699574288</v>
      </c>
      <c r="J19" s="354">
        <f>IF(ISNUMBER((Tasas!D19-Datos!BF19)/Datos!BF19),(Tasas!D19-Datos!BF19)/Datos!BF19," - ")</f>
        <v>0.10425559404701336</v>
      </c>
      <c r="K19" s="357">
        <f>IF(ISNUMBER((Tasas!E19-Datos!BG19)/Datos!BG19),(Tasas!E19-Datos!BG19)/Datos!BG19," - ")</f>
        <v>9.7797510741873817E-2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-3.6104687828463315E-2</v>
      </c>
      <c r="E20" s="362">
        <f>IF(ISNUMBER(
   IF(J_V="SI",(Datos!J20-Datos!T20)/Datos!T20,(Datos!J20+Datos!Z20-(Datos!T20+Datos!AH20))/(Datos!T20+Datos!AH20))
     ),IF(J_V="SI",(Datos!J20-Datos!T20)/Datos!T20,(Datos!J20+Datos!Z20-(Datos!T20+Datos!AH20))/(Datos!T20+Datos!AH20))," - ")</f>
        <v>8.3740046236835342E-2</v>
      </c>
      <c r="F20" s="362">
        <f>IF(ISNUMBER(
   IF(J_V="SI",(Datos!K20-Datos!U20)/Datos!U20,(Datos!K20+Datos!AA20-(Datos!U20+Datos!AI20))/(Datos!U20+Datos!AI20))
     ),IF(J_V="SI",(Datos!K20-Datos!U20)/Datos!U20,(Datos!K20+Datos!AA20-(Datos!U20+Datos!AI20))/(Datos!U20+Datos!AI20))," - ")</f>
        <v>-9.3304401735895839E-2</v>
      </c>
      <c r="G20" s="363">
        <f>IF(ISNUMBER(
   IF(J_V="SI",(Datos!L20-Datos!V20)/Datos!V20,(Datos!L20+Datos!AB20-(Datos!V20+Datos!AJ20))/(Datos!V20+Datos!AJ20))
     ),IF(J_V="SI",(Datos!L20-Datos!V20)/Datos!V20,(Datos!L20+Datos!AB20-(Datos!V20+Datos!AJ20))/(Datos!V20+Datos!AJ20))," - ")</f>
        <v>4.9840810419681622E-2</v>
      </c>
      <c r="H20" s="364">
        <f>IF(ISNUMBER((Datos!M20-Datos!W20)/Datos!W20),(Datos!M20-Datos!W20)/Datos!W20," - ")</f>
        <v>-8.988764044943821E-3</v>
      </c>
      <c r="I20" s="361">
        <f>IF(ISNUMBER((Tasas!C20-Datos!BE20)/Datos!BE20),(Tasas!C20-Datos!BE20)/Datos!BE20," - ")</f>
        <v>0.15787571091073255</v>
      </c>
      <c r="J20" s="362">
        <f>IF(ISNUMBER((Tasas!D20-Datos!BF20)/Datos!BF20),(Tasas!D20-Datos!BF20)/Datos!BF20," - ")</f>
        <v>-0.30184468163415534</v>
      </c>
      <c r="K20" s="363">
        <f>IF(ISNUMBER((Tasas!E20-Datos!BG20)/Datos!BG20),(Tasas!E20-Datos!BG20)/Datos!BG20," - ")</f>
        <v>0.10146637265008261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0.24068797480015591</v>
      </c>
      <c r="E22" s="277">
        <f t="shared" si="1"/>
        <v>0.11087173002357342</v>
      </c>
      <c r="F22" s="277">
        <f t="shared" si="1"/>
        <v>0.12278227314733227</v>
      </c>
      <c r="G22" s="278">
        <f t="shared" si="1"/>
        <v>0.38748539287428935</v>
      </c>
      <c r="H22" s="284">
        <f t="shared" si="1"/>
        <v>0.17543668988577035</v>
      </c>
      <c r="I22" s="276">
        <f t="shared" si="1"/>
        <v>0.36873697978721243</v>
      </c>
      <c r="J22" s="277">
        <f t="shared" si="1"/>
        <v>0.23626085597651891</v>
      </c>
      <c r="K22" s="278">
        <f t="shared" si="1"/>
        <v>0.20958073552832465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Ufxx7Km9EvgEgkd321nfUx0JqAdbTbQUXQqYteuJK/G1dlV057N8Et9oKsmdRYANLFUzOuOULexihfXfUnVfg==" saltValue="0snhMTEjoDJawuEuP4sEZ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47.301940035273368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118</v>
      </c>
      <c r="D10" s="224">
        <f>IF(ISNUMBER(Datos!I10),Datos!I10," - ")</f>
        <v>118</v>
      </c>
      <c r="E10" s="225">
        <f>IF(ISNUMBER(Datos!J10),Datos!J10," - ")</f>
        <v>41</v>
      </c>
      <c r="F10" s="225">
        <f>IF(ISNUMBER(Datos!K10),Datos!K10," - ")</f>
        <v>43</v>
      </c>
      <c r="G10" s="1029" t="str">
        <f>IF(Datos!E10&lt;&gt;"",Datos!E10,Datos!D10)</f>
        <v>37</v>
      </c>
      <c r="H10" s="226">
        <f>IF(ISNUMBER(Datos!L10),Datos!L10," - ")</f>
        <v>116</v>
      </c>
      <c r="I10" s="1039" t="str">
        <f>IF(ISNUMBER(Datos!AS10/Datos!BM10),Datos!AS10/Datos!BM10," - ")</f>
        <v xml:space="preserve"> - </v>
      </c>
      <c r="J10" s="1040">
        <f>IF(ISNUMBER(Datos!BY10/Datos!CN10),Datos!BY10/Datos!CN10," - ")</f>
        <v>0</v>
      </c>
      <c r="K10" s="229">
        <f t="shared" ref="K10:K12" si="1">IF(ISNUMBER((E10-F10)/C10),(E10-F10)/C10," - ")</f>
        <v>-1.6949152542372881E-2</v>
      </c>
      <c r="L10" s="1020">
        <f>IF(ISNUMBER(NºAsuntos!I10/NºAsuntos!G10),(NºAsuntos!I10/NºAsuntos!G10)*11," - ")</f>
        <v>29.674418604651162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118</v>
      </c>
      <c r="D13" s="1044">
        <f>SUBTOTAL(9,D9:D12)</f>
        <v>118</v>
      </c>
      <c r="E13" s="1045">
        <f>SUBTOTAL(9,E9:E12)</f>
        <v>41</v>
      </c>
      <c r="F13" s="1046">
        <f>SUBTOTAL(9,F9:F12)</f>
        <v>43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5715</v>
      </c>
      <c r="D15" s="224">
        <f>IF(ISNUMBER(IF(D_I="SI",Datos!I15,Datos!I15+Datos!AC15)),IF(D_I="SI",Datos!I15,Datos!I15+Datos!AC15)," - ")</f>
        <v>5574</v>
      </c>
      <c r="E15" s="225">
        <f>IF(ISNUMBER(IF(D_I="SI",Datos!J15,Datos!J15+Datos!AD15)),IF(D_I="SI",Datos!J15,Datos!J15+Datos!AD15)," - ")</f>
        <v>5177</v>
      </c>
      <c r="F15" s="225">
        <f>IF(ISNUMBER(IF(D_I="SI",Datos!K15,Datos!K15+Datos!AE15)),IF(D_I="SI",Datos!K15,Datos!K15+Datos!AE15)," - ")</f>
        <v>5329</v>
      </c>
      <c r="G15" s="1029" t="str">
        <f>IF(Datos!E15&lt;&gt;"",Datos!E15,Datos!D15)</f>
        <v>03</v>
      </c>
      <c r="H15" s="226">
        <f>IF(ISNUMBER(IF(D_I="SI",Datos!L15,Datos!L15+Datos!AF15)),IF(D_I="SI",Datos!L15,Datos!L15+Datos!AF15)," - ")</f>
        <v>5563</v>
      </c>
      <c r="I15" s="1039" t="str">
        <f>IF(ISNUMBER(Datos!AS15/Datos!BM15),Datos!AS15/Datos!BM15," - ")</f>
        <v xml:space="preserve"> - </v>
      </c>
      <c r="J15" s="1040">
        <f>IF(ISNUMBER(Datos!BY15/Datos!CN15),Datos!BY15/Datos!CN15," - ")</f>
        <v>0</v>
      </c>
      <c r="K15" s="229">
        <f t="shared" ref="K15:K18" si="3">IF(ISNUMBER((E15-F15)/C15),(E15-F15)/C15," - ")</f>
        <v>-2.6596675415573052E-2</v>
      </c>
      <c r="L15" s="1020">
        <f>IF(ISNUMBER(NºAsuntos!I15/NºAsuntos!G15),(NºAsuntos!I15/NºAsuntos!G15)*11," - ")</f>
        <v>11.483017451679489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426</v>
      </c>
      <c r="D18" s="224">
        <f>IF(ISNUMBER(IF(D_I="SI",Datos!I18,Datos!I18+Datos!AC18)),IF(D_I="SI",Datos!I18,Datos!I18+Datos!AC18)," - ")</f>
        <v>435</v>
      </c>
      <c r="E18" s="225">
        <f>IF(ISNUMBER(IF(D_I="SI",Datos!J18,Datos!J18+Datos!AD18)),IF(D_I="SI",Datos!J18,Datos!J18+Datos!AD18)," - ")</f>
        <v>408</v>
      </c>
      <c r="F18" s="225">
        <f>IF(ISNUMBER(IF(D_I="SI",Datos!K18,Datos!K18+Datos!AE18)),IF(D_I="SI",Datos!K18,Datos!K18+Datos!AE18)," - ")</f>
        <v>568</v>
      </c>
      <c r="G18" s="1029" t="str">
        <f>IF(Datos!E18&lt;&gt;"",Datos!E18,Datos!D18)</f>
        <v>37</v>
      </c>
      <c r="H18" s="226">
        <f>IF(ISNUMBER(IF(D_I="SI",Datos!L18,Datos!L18+Datos!AF18)),IF(D_I="SI",Datos!L18,Datos!L18+Datos!AF18)," - ")</f>
        <v>266</v>
      </c>
      <c r="I18" s="1039" t="str">
        <f>IF(ISNUMBER(Datos!AS18/Datos!BM18),Datos!AS18/Datos!BM18," - ")</f>
        <v xml:space="preserve"> - </v>
      </c>
      <c r="J18" s="1040" t="str">
        <f>IF(ISNUMBER((Datos!BY18+Datos!BZ18)/Datos!CN18),(Datos!BY18+Datos!BZ18)/Datos!CN18," - ")</f>
        <v xml:space="preserve"> - </v>
      </c>
      <c r="K18" s="229">
        <f t="shared" si="3"/>
        <v>-0.37558685446009388</v>
      </c>
      <c r="L18" s="1020">
        <f>IF(ISNUMBER(NºAsuntos!I18/NºAsuntos!G18),(NºAsuntos!I18/NºAsuntos!G18)*11," - ")</f>
        <v>5.151408450704225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6141</v>
      </c>
      <c r="D19" s="1044">
        <f>SUBTOTAL(9,D15:D18)</f>
        <v>6009</v>
      </c>
      <c r="E19" s="1045">
        <f>SUBTOTAL(9,E15:E18)</f>
        <v>5585</v>
      </c>
      <c r="F19" s="1045">
        <f>SUBTOTAL(9,F15:F18)</f>
        <v>5897</v>
      </c>
      <c r="G19" s="1047" t="str">
        <f ca="1">INDIRECT(CONCATENATE("G",ROW()-1))</f>
        <v>37</v>
      </c>
      <c r="H19" s="1048">
        <f ca="1">SUMIF(G$14:G18,G19,H$14:H18)</f>
        <v>266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6259</v>
      </c>
      <c r="D20" s="1066">
        <f>SUBTOTAL(9,D9:D19)</f>
        <v>6127</v>
      </c>
      <c r="E20" s="1067">
        <f>SUBTOTAL(9,E9:E19)</f>
        <v>5626</v>
      </c>
      <c r="F20" s="1067">
        <f>SUBTOTAL(9,F9:F19)</f>
        <v>5940</v>
      </c>
      <c r="G20" s="1068"/>
      <c r="H20" s="1069">
        <f ca="1">SUMIF(B9:B19,"TOTAL",H9:H19)</f>
        <v>266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TWwblsWX1Fh1Xfs9y5S/WCZLKSx5NO5Zag9YrJUfF37vOzLzbfX6A5/GPHB8UQrIwef6nVPZkzqL1y3f5EEig==" saltValue="ZXbA0xijxd5/Tu6m51VWF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U4tEC5MZ3eM1KXY9tIeGgECz2/7lsqKW44xiEWFsTHWNVSlPVQKFS12nD/jSyF2DsyhKInN4X3oTh192A9N3A==" saltValue="cux8lBUCKYId/B8coWn+c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11894</v>
      </c>
      <c r="J9" s="180">
        <v>2636</v>
      </c>
      <c r="K9" s="180">
        <v>2707</v>
      </c>
      <c r="L9" s="180">
        <v>11823</v>
      </c>
      <c r="M9" s="180">
        <v>840</v>
      </c>
      <c r="N9" s="180">
        <v>1113</v>
      </c>
      <c r="O9" s="180">
        <v>1106</v>
      </c>
      <c r="P9" s="180">
        <v>638</v>
      </c>
      <c r="Q9" s="180">
        <v>361</v>
      </c>
      <c r="R9" s="180">
        <v>13729</v>
      </c>
      <c r="S9" s="180">
        <v>13677</v>
      </c>
      <c r="T9" s="180">
        <v>1988</v>
      </c>
      <c r="U9" s="180">
        <v>3562</v>
      </c>
      <c r="V9" s="180">
        <v>12107</v>
      </c>
      <c r="W9" s="180">
        <v>894</v>
      </c>
      <c r="X9" s="187">
        <v>1649</v>
      </c>
      <c r="Y9" s="190">
        <v>320</v>
      </c>
      <c r="Z9" s="180">
        <v>176</v>
      </c>
      <c r="AA9" s="180">
        <v>128</v>
      </c>
      <c r="AB9" s="180">
        <v>368</v>
      </c>
      <c r="AC9" s="180">
        <v>0</v>
      </c>
      <c r="AD9" s="180">
        <v>0</v>
      </c>
      <c r="AE9" s="180">
        <v>0</v>
      </c>
      <c r="AF9" s="187">
        <v>0</v>
      </c>
      <c r="AG9" s="190">
        <v>292</v>
      </c>
      <c r="AH9" s="180">
        <v>190</v>
      </c>
      <c r="AI9" s="180">
        <v>192</v>
      </c>
      <c r="AJ9" s="191">
        <v>290</v>
      </c>
      <c r="AK9" s="179">
        <v>0</v>
      </c>
      <c r="AL9" s="180">
        <v>0</v>
      </c>
      <c r="AM9" s="180">
        <v>0</v>
      </c>
      <c r="AN9" s="187">
        <v>0</v>
      </c>
      <c r="AO9" s="257">
        <v>8</v>
      </c>
      <c r="AP9" s="153">
        <v>8</v>
      </c>
      <c r="AQ9" s="153">
        <v>8</v>
      </c>
      <c r="AR9" s="192">
        <v>8</v>
      </c>
      <c r="AS9" s="337" t="s">
        <v>763</v>
      </c>
      <c r="AT9" s="194"/>
      <c r="AU9" s="193"/>
      <c r="AV9" s="194"/>
      <c r="AW9" s="193"/>
      <c r="AX9" s="194"/>
      <c r="AY9" s="123">
        <f>IF(ISNUMBER(IF(J_V="SI",S9,S9+AG9)),IF(J_V="SI",S9,S9+AG9)," - ")</f>
        <v>13969</v>
      </c>
      <c r="AZ9" s="123">
        <f>IF(ISNUMBER(IF(J_V="SI",T9,T9+AH9)),IF(J_V="SI",T9,T9+AH9)," - ")</f>
        <v>2178</v>
      </c>
      <c r="BA9" s="124">
        <f>IF(ISNUMBER(IF(J_V="SI",U9,U9+AI9)),IF(J_V="SI",U9,U9+AI9)," - ")</f>
        <v>3754</v>
      </c>
      <c r="BB9" s="124">
        <f>IF(ISNUMBER(IF(J_V="SI",V9,V9+AJ9)),IF(J_V="SI",V9,V9+AJ9)," - ")</f>
        <v>12397</v>
      </c>
      <c r="BC9" s="125">
        <f>IF(ISNUMBER(X9),X9," - ")</f>
        <v>1649</v>
      </c>
      <c r="BD9" s="126">
        <f>IF(ISNUMBER(BA9/AZ9),BA9/AZ9," - ")</f>
        <v>1.7235996326905418</v>
      </c>
      <c r="BE9" s="127">
        <f>IF(ISNUMBER(BB9/BA9),BB9/BA9, " - ")</f>
        <v>3.3023441662226958</v>
      </c>
      <c r="BF9" s="127">
        <f>IF(ISNUMBER(BC9/BA9),BC9/BA9, " - ")</f>
        <v>0.43926478423015453</v>
      </c>
      <c r="BG9" s="195">
        <f>IF(ISNUMBER((AY9+AZ9)/BA9),(AY9+AZ9)/BA9," - ")</f>
        <v>4.3012786361214701</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118</v>
      </c>
      <c r="J10" s="180">
        <v>41</v>
      </c>
      <c r="K10" s="180">
        <v>43</v>
      </c>
      <c r="L10" s="180">
        <v>116</v>
      </c>
      <c r="M10" s="180">
        <v>17</v>
      </c>
      <c r="N10" s="180">
        <v>22</v>
      </c>
      <c r="O10" s="180">
        <v>4</v>
      </c>
      <c r="P10" s="180">
        <v>6</v>
      </c>
      <c r="Q10" s="180">
        <v>1</v>
      </c>
      <c r="R10" s="180">
        <v>55</v>
      </c>
      <c r="S10" s="180">
        <v>109</v>
      </c>
      <c r="T10" s="180">
        <v>47</v>
      </c>
      <c r="U10" s="180">
        <v>55</v>
      </c>
      <c r="V10" s="180">
        <v>101</v>
      </c>
      <c r="W10" s="180">
        <v>21</v>
      </c>
      <c r="X10" s="187">
        <v>22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109</v>
      </c>
      <c r="AZ10" s="129">
        <f t="shared" si="0"/>
        <v>47</v>
      </c>
      <c r="BA10" s="129">
        <f t="shared" si="0"/>
        <v>55</v>
      </c>
      <c r="BB10" s="129">
        <f t="shared" si="0"/>
        <v>101</v>
      </c>
      <c r="BC10" s="125">
        <f t="shared" si="0"/>
        <v>21</v>
      </c>
      <c r="BD10" s="126">
        <f>IF(ISNUMBER(BA10/AZ10),BA10/AZ10," - ")</f>
        <v>1.1702127659574468</v>
      </c>
      <c r="BE10" s="127">
        <f>IF(ISNUMBER(BB10/BA10),BB10/BA10, " - ")</f>
        <v>1.8363636363636364</v>
      </c>
      <c r="BF10" s="127">
        <f>IF(ISNUMBER(BC10/BA10),BC10/BA10, " - ")</f>
        <v>0.38181818181818183</v>
      </c>
      <c r="BG10" s="195">
        <f>IF(ISNUMBER((AY10+AZ10)/BA10),(AY10+AZ10)/BA10," - ")</f>
        <v>2.8363636363636364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12012</v>
      </c>
      <c r="J13" s="183">
        <f t="shared" si="6"/>
        <v>2677</v>
      </c>
      <c r="K13" s="183">
        <f t="shared" si="6"/>
        <v>2750</v>
      </c>
      <c r="L13" s="183">
        <f t="shared" si="6"/>
        <v>11939</v>
      </c>
      <c r="M13" s="183">
        <f t="shared" si="6"/>
        <v>857</v>
      </c>
      <c r="N13" s="183">
        <f t="shared" si="6"/>
        <v>1135</v>
      </c>
      <c r="O13" s="183">
        <f t="shared" si="6"/>
        <v>1110</v>
      </c>
      <c r="P13" s="183">
        <f t="shared" si="6"/>
        <v>644</v>
      </c>
      <c r="Q13" s="183">
        <f t="shared" si="6"/>
        <v>362</v>
      </c>
      <c r="R13" s="183">
        <f t="shared" si="6"/>
        <v>13784</v>
      </c>
      <c r="S13" s="183">
        <f t="shared" si="6"/>
        <v>13786</v>
      </c>
      <c r="T13" s="183">
        <f t="shared" si="6"/>
        <v>2035</v>
      </c>
      <c r="U13" s="183">
        <f t="shared" si="6"/>
        <v>3617</v>
      </c>
      <c r="V13" s="183">
        <f t="shared" si="6"/>
        <v>12208</v>
      </c>
      <c r="W13" s="183">
        <f t="shared" si="6"/>
        <v>915</v>
      </c>
      <c r="X13" s="183">
        <f t="shared" si="6"/>
        <v>1671</v>
      </c>
      <c r="Y13" s="183">
        <f t="shared" si="6"/>
        <v>320</v>
      </c>
      <c r="Z13" s="183">
        <f t="shared" si="6"/>
        <v>176</v>
      </c>
      <c r="AA13" s="183">
        <f t="shared" si="6"/>
        <v>128</v>
      </c>
      <c r="AB13" s="183">
        <f t="shared" si="6"/>
        <v>368</v>
      </c>
      <c r="AC13" s="183">
        <f t="shared" si="6"/>
        <v>0</v>
      </c>
      <c r="AD13" s="183">
        <f t="shared" si="6"/>
        <v>0</v>
      </c>
      <c r="AE13" s="183">
        <f t="shared" si="6"/>
        <v>0</v>
      </c>
      <c r="AF13" s="183">
        <f>SUBTOTAL(9,AF9:AF12)</f>
        <v>0</v>
      </c>
      <c r="AG13" s="183">
        <f t="shared" ref="AG13:AT13" si="7">SUBTOTAL(9,AG8:AG12)</f>
        <v>292</v>
      </c>
      <c r="AH13" s="183">
        <f t="shared" si="7"/>
        <v>190</v>
      </c>
      <c r="AI13" s="183">
        <f t="shared" si="7"/>
        <v>192</v>
      </c>
      <c r="AJ13" s="183">
        <f t="shared" si="7"/>
        <v>290</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14078</v>
      </c>
      <c r="AZ13" s="183">
        <f>SUBTOTAL(9,AZ8:AZ12)</f>
        <v>2225</v>
      </c>
      <c r="BA13" s="183">
        <f>SUBTOTAL(9,BA8:BA12)</f>
        <v>3809</v>
      </c>
      <c r="BB13" s="183">
        <f>SUBTOTAL(9,BB8:BB12)</f>
        <v>12498</v>
      </c>
      <c r="BC13" s="183">
        <f>SUBTOTAL(9,BC8:BC12)</f>
        <v>1670</v>
      </c>
      <c r="BD13" s="204">
        <f>IF(ISNUMBER(BA13/AZ13),BA13/AZ13," - ")</f>
        <v>1.7119101123595506</v>
      </c>
      <c r="BE13" s="205">
        <f>IF(ISNUMBER(BB13/BA13),BB13/BA13, " - ")</f>
        <v>3.2811761617222368</v>
      </c>
      <c r="BF13" s="205">
        <f>IF(ISNUMBER(BC13/BA13),BC13/BA13, " - ")</f>
        <v>0.43843528485166711</v>
      </c>
      <c r="BG13" s="206">
        <f>IF(ISNUMBER((AY13+AZ13)/BA13),(AY13+AZ13)/BA13," - ")</f>
        <v>4.2801260173273823</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5574</v>
      </c>
      <c r="J15" s="182">
        <v>5177</v>
      </c>
      <c r="K15" s="182">
        <v>5329</v>
      </c>
      <c r="L15" s="182">
        <v>5563</v>
      </c>
      <c r="M15" s="182">
        <v>407</v>
      </c>
      <c r="N15" s="182">
        <v>3640</v>
      </c>
      <c r="O15" s="180">
        <v>10</v>
      </c>
      <c r="P15" s="182">
        <v>117</v>
      </c>
      <c r="Q15" s="182">
        <v>70</v>
      </c>
      <c r="R15" s="182">
        <v>269</v>
      </c>
      <c r="S15" s="182">
        <v>4361</v>
      </c>
      <c r="T15" s="182">
        <v>5046</v>
      </c>
      <c r="U15" s="182">
        <v>5333</v>
      </c>
      <c r="V15" s="182">
        <v>4209</v>
      </c>
      <c r="W15" s="182">
        <v>375</v>
      </c>
      <c r="X15" s="188">
        <v>3577</v>
      </c>
      <c r="Y15" s="201">
        <v>0</v>
      </c>
      <c r="Z15" s="182">
        <v>0</v>
      </c>
      <c r="AA15" s="182">
        <v>0</v>
      </c>
      <c r="AB15" s="182">
        <v>0</v>
      </c>
      <c r="AC15" s="182">
        <v>0</v>
      </c>
      <c r="AD15" s="182">
        <v>123</v>
      </c>
      <c r="AE15" s="182">
        <v>123</v>
      </c>
      <c r="AF15" s="188">
        <v>0</v>
      </c>
      <c r="AG15" s="201">
        <v>0</v>
      </c>
      <c r="AH15" s="182">
        <v>0</v>
      </c>
      <c r="AI15" s="182">
        <v>0</v>
      </c>
      <c r="AJ15" s="202">
        <v>0</v>
      </c>
      <c r="AK15" s="181">
        <v>0</v>
      </c>
      <c r="AL15" s="182">
        <v>43</v>
      </c>
      <c r="AM15" s="182">
        <v>37</v>
      </c>
      <c r="AN15" s="188">
        <v>6</v>
      </c>
      <c r="AO15" s="258">
        <v>5</v>
      </c>
      <c r="AP15" s="154">
        <v>5</v>
      </c>
      <c r="AQ15" s="154">
        <v>5</v>
      </c>
      <c r="AR15" s="154">
        <v>5</v>
      </c>
      <c r="AS15" s="339" t="s">
        <v>520</v>
      </c>
      <c r="AT15" s="202" t="s">
        <v>327</v>
      </c>
      <c r="AU15" s="201"/>
      <c r="AV15" s="202"/>
      <c r="AW15" s="201"/>
      <c r="AX15" s="202"/>
      <c r="AY15" s="128">
        <f t="shared" ref="AY15:BB17" si="9">IF(ISNUMBER(IF(D_I="SI",S15,S15+AK15)),IF(D_I="SI",S15,S15+AK15)," - ")</f>
        <v>4361</v>
      </c>
      <c r="AZ15" s="129">
        <f t="shared" si="9"/>
        <v>5046</v>
      </c>
      <c r="BA15" s="129">
        <f t="shared" si="9"/>
        <v>5333</v>
      </c>
      <c r="BB15" s="129">
        <f t="shared" si="9"/>
        <v>4209</v>
      </c>
      <c r="BC15" s="125">
        <f>IF(ISNUMBER(W15),W15," - ")</f>
        <v>375</v>
      </c>
      <c r="BD15" s="126">
        <f>IF(ISNUMBER(BA15/AZ15),BA15/AZ15," - ")</f>
        <v>1.0568767340467697</v>
      </c>
      <c r="BE15" s="127">
        <f>IF(ISNUMBER(BB15/BA15),BB15/BA15, " - ")</f>
        <v>0.78923682730170641</v>
      </c>
      <c r="BF15" s="127">
        <f>IF(ISNUMBER(BC15/BA15),BC15/BA15, " - ")</f>
        <v>7.0316894805925373E-2</v>
      </c>
      <c r="BG15" s="195">
        <f t="shared" ref="BG15:BG17" si="10">IF(ISNUMBER((AY15+AZ15)/BA15),(AY15+AZ15)/BA15," - ")</f>
        <v>1.7639227451715733</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435</v>
      </c>
      <c r="J18" s="182">
        <v>408</v>
      </c>
      <c r="K18" s="182">
        <v>568</v>
      </c>
      <c r="L18" s="182">
        <v>266</v>
      </c>
      <c r="M18" s="182">
        <v>59</v>
      </c>
      <c r="N18" s="182">
        <v>397</v>
      </c>
      <c r="O18" s="182">
        <v>0</v>
      </c>
      <c r="P18" s="182">
        <v>16</v>
      </c>
      <c r="Q18" s="182">
        <v>10</v>
      </c>
      <c r="R18" s="182">
        <v>30</v>
      </c>
      <c r="S18" s="182">
        <v>589</v>
      </c>
      <c r="T18" s="182">
        <v>515</v>
      </c>
      <c r="U18" s="182">
        <v>536</v>
      </c>
      <c r="V18" s="182">
        <v>568</v>
      </c>
      <c r="W18" s="182">
        <v>45</v>
      </c>
      <c r="X18" s="188">
        <v>369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589</v>
      </c>
      <c r="AZ18" s="129">
        <f t="shared" si="19"/>
        <v>515</v>
      </c>
      <c r="BA18" s="129">
        <f t="shared" si="19"/>
        <v>536</v>
      </c>
      <c r="BB18" s="129">
        <f t="shared" si="19"/>
        <v>568</v>
      </c>
      <c r="BC18" s="125">
        <f>IF(ISNUMBER(W18),W18," - ")</f>
        <v>45</v>
      </c>
      <c r="BD18" s="126">
        <f>IF(ISNUMBER(BA18/AZ18),BA18/AZ18," - ")</f>
        <v>1.0407766990291263</v>
      </c>
      <c r="BE18" s="127">
        <f>IF(ISNUMBER(BB18/BA18),BB18/BA18, " - ")</f>
        <v>1.0597014925373134</v>
      </c>
      <c r="BF18" s="127">
        <f>IF(ISNUMBER(BC18/BA18),BC18/BA18, " - ")</f>
        <v>8.3955223880597021E-2</v>
      </c>
      <c r="BG18" s="195">
        <f>IF(ISNUMBER((AY18+AZ18)/BA18),(AY18+AZ18)/BA18," - ")</f>
        <v>2.0597014925373136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6009</v>
      </c>
      <c r="J19" s="183">
        <f t="shared" si="20"/>
        <v>5585</v>
      </c>
      <c r="K19" s="183">
        <f t="shared" si="20"/>
        <v>5897</v>
      </c>
      <c r="L19" s="183">
        <f t="shared" si="20"/>
        <v>5829</v>
      </c>
      <c r="M19" s="183">
        <f t="shared" si="20"/>
        <v>466</v>
      </c>
      <c r="N19" s="183">
        <f t="shared" si="20"/>
        <v>4037</v>
      </c>
      <c r="O19" s="183">
        <f t="shared" si="20"/>
        <v>10</v>
      </c>
      <c r="P19" s="183">
        <f t="shared" si="20"/>
        <v>133</v>
      </c>
      <c r="Q19" s="183">
        <f t="shared" si="20"/>
        <v>80</v>
      </c>
      <c r="R19" s="183">
        <f t="shared" si="20"/>
        <v>299</v>
      </c>
      <c r="S19" s="183">
        <f t="shared" si="20"/>
        <v>4950</v>
      </c>
      <c r="T19" s="183">
        <f t="shared" si="20"/>
        <v>5561</v>
      </c>
      <c r="U19" s="183">
        <f t="shared" si="20"/>
        <v>5869</v>
      </c>
      <c r="V19" s="183">
        <f t="shared" si="20"/>
        <v>4777</v>
      </c>
      <c r="W19" s="183">
        <f t="shared" si="20"/>
        <v>420</v>
      </c>
      <c r="X19" s="183">
        <f t="shared" si="20"/>
        <v>3946</v>
      </c>
      <c r="Y19" s="183">
        <f t="shared" si="20"/>
        <v>0</v>
      </c>
      <c r="Z19" s="183">
        <f t="shared" si="20"/>
        <v>0</v>
      </c>
      <c r="AA19" s="183">
        <f t="shared" si="20"/>
        <v>0</v>
      </c>
      <c r="AB19" s="183">
        <f t="shared" si="20"/>
        <v>0</v>
      </c>
      <c r="AC19" s="183">
        <f t="shared" si="20"/>
        <v>0</v>
      </c>
      <c r="AD19" s="183">
        <f t="shared" si="20"/>
        <v>123</v>
      </c>
      <c r="AE19" s="183">
        <f t="shared" si="20"/>
        <v>123</v>
      </c>
      <c r="AF19" s="183">
        <f t="shared" si="20"/>
        <v>0</v>
      </c>
      <c r="AG19" s="183">
        <f t="shared" si="20"/>
        <v>0</v>
      </c>
      <c r="AH19" s="183">
        <f t="shared" si="20"/>
        <v>0</v>
      </c>
      <c r="AI19" s="183">
        <f t="shared" si="20"/>
        <v>0</v>
      </c>
      <c r="AJ19" s="183">
        <f t="shared" si="20"/>
        <v>0</v>
      </c>
      <c r="AK19" s="183">
        <f t="shared" si="20"/>
        <v>0</v>
      </c>
      <c r="AL19" s="183">
        <f t="shared" si="20"/>
        <v>43</v>
      </c>
      <c r="AM19" s="183">
        <f t="shared" si="20"/>
        <v>37</v>
      </c>
      <c r="AN19" s="183">
        <f t="shared" si="20"/>
        <v>6</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4950</v>
      </c>
      <c r="AZ19" s="183">
        <f>SUBTOTAL(9,AZ14:AZ18)</f>
        <v>5561</v>
      </c>
      <c r="BA19" s="183">
        <f>SUBTOTAL(9,BA14:BA18)</f>
        <v>5869</v>
      </c>
      <c r="BB19" s="183">
        <f>SUBTOTAL(9,BB14:BB18)</f>
        <v>4777</v>
      </c>
      <c r="BC19" s="183">
        <f>SUBTOTAL(9,BC14:BC18)</f>
        <v>420</v>
      </c>
      <c r="BD19" s="204">
        <f>IF(ISNUMBER(BA19/AZ19),BA19/AZ19," - ")</f>
        <v>1.0553857219924474</v>
      </c>
      <c r="BE19" s="205">
        <f>IF(ISNUMBER(BB19/BA19),BB19/BA19, " - ")</f>
        <v>0.81393763843925715</v>
      </c>
      <c r="BF19" s="205">
        <f>IF(ISNUMBER(BC19/BA19),BC19/BA19, " - ")</f>
        <v>7.1562446754131884E-2</v>
      </c>
      <c r="BG19" s="206">
        <f>IF(ISNUMBER((AY19+AZ19)/BA19),(AY19+AZ19)/BA19," - ")</f>
        <v>1.7909354234111432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18021</v>
      </c>
      <c r="J20" s="134">
        <f t="shared" si="23"/>
        <v>8262</v>
      </c>
      <c r="K20" s="134">
        <f t="shared" si="23"/>
        <v>8647</v>
      </c>
      <c r="L20" s="134">
        <f t="shared" si="23"/>
        <v>17768</v>
      </c>
      <c r="M20" s="134">
        <f t="shared" si="23"/>
        <v>1323</v>
      </c>
      <c r="N20" s="134">
        <f t="shared" si="23"/>
        <v>5172</v>
      </c>
      <c r="O20" s="134">
        <f t="shared" si="23"/>
        <v>1120</v>
      </c>
      <c r="P20" s="134">
        <f t="shared" si="23"/>
        <v>777</v>
      </c>
      <c r="Q20" s="134">
        <f t="shared" si="23"/>
        <v>442</v>
      </c>
      <c r="R20" s="134">
        <f t="shared" si="23"/>
        <v>14083</v>
      </c>
      <c r="S20" s="134">
        <f t="shared" si="23"/>
        <v>18736</v>
      </c>
      <c r="T20" s="134">
        <f t="shared" si="23"/>
        <v>7596</v>
      </c>
      <c r="U20" s="134">
        <f t="shared" si="23"/>
        <v>9486</v>
      </c>
      <c r="V20" s="134">
        <f t="shared" si="23"/>
        <v>16985</v>
      </c>
      <c r="W20" s="134">
        <f t="shared" si="23"/>
        <v>1335</v>
      </c>
      <c r="X20" s="134">
        <f t="shared" si="23"/>
        <v>5617</v>
      </c>
      <c r="Y20" s="134">
        <f t="shared" si="23"/>
        <v>320</v>
      </c>
      <c r="Z20" s="134">
        <f t="shared" si="23"/>
        <v>176</v>
      </c>
      <c r="AA20" s="134">
        <f t="shared" si="23"/>
        <v>128</v>
      </c>
      <c r="AB20" s="134">
        <f t="shared" si="23"/>
        <v>368</v>
      </c>
      <c r="AC20" s="134">
        <f t="shared" si="23"/>
        <v>0</v>
      </c>
      <c r="AD20" s="134">
        <f t="shared" si="23"/>
        <v>123</v>
      </c>
      <c r="AE20" s="134">
        <f t="shared" si="23"/>
        <v>123</v>
      </c>
      <c r="AF20" s="134">
        <f t="shared" si="23"/>
        <v>0</v>
      </c>
      <c r="AG20" s="134">
        <f t="shared" si="23"/>
        <v>292</v>
      </c>
      <c r="AH20" s="134">
        <f t="shared" si="23"/>
        <v>190</v>
      </c>
      <c r="AI20" s="134">
        <f t="shared" si="23"/>
        <v>192</v>
      </c>
      <c r="AJ20" s="134">
        <f t="shared" si="23"/>
        <v>290</v>
      </c>
      <c r="AK20" s="134">
        <f t="shared" si="23"/>
        <v>0</v>
      </c>
      <c r="AL20" s="134">
        <f t="shared" si="23"/>
        <v>43</v>
      </c>
      <c r="AM20" s="134">
        <f t="shared" si="23"/>
        <v>37</v>
      </c>
      <c r="AN20" s="209">
        <f t="shared" si="23"/>
        <v>6</v>
      </c>
      <c r="AO20" s="210">
        <v>15</v>
      </c>
      <c r="AP20" s="210">
        <v>15</v>
      </c>
      <c r="AQ20" s="210">
        <v>15</v>
      </c>
      <c r="AR20" s="210">
        <v>15</v>
      </c>
      <c r="AS20" s="152">
        <f t="shared" si="23"/>
        <v>0</v>
      </c>
      <c r="AT20" s="152">
        <f t="shared" si="23"/>
        <v>0</v>
      </c>
      <c r="AU20" s="210"/>
      <c r="AV20" s="211"/>
      <c r="AW20" s="210"/>
      <c r="AX20" s="211"/>
      <c r="AY20" s="133">
        <f>SUBTOTAL(9,AY9:AY19)</f>
        <v>19028</v>
      </c>
      <c r="AZ20" s="134">
        <f>SUBTOTAL(9,AZ9:AZ19)</f>
        <v>7786</v>
      </c>
      <c r="BA20" s="134">
        <f>SUBTOTAL(9,BA9:BA19)</f>
        <v>9678</v>
      </c>
      <c r="BB20" s="134">
        <f>SUBTOTAL(9,BB9:BB19)</f>
        <v>17275</v>
      </c>
      <c r="BC20" s="135">
        <f>SUBTOTAL(9,BC9:BC19)</f>
        <v>2090</v>
      </c>
      <c r="BD20" s="212">
        <f>IF(ISNUMBER(BA20/AZ20),BA20/AZ20," - ")</f>
        <v>1.2430002568713074</v>
      </c>
      <c r="BE20" s="209">
        <f>IF(ISNUMBER(BB20/BA20),BB20/BA20, " - ")</f>
        <v>1.7849762347592477</v>
      </c>
      <c r="BF20" s="209">
        <f>IF(ISNUMBER(BC20/BA20),BC20/BA20, " - ")</f>
        <v>0.21595370944410003</v>
      </c>
      <c r="BG20" s="135">
        <f>IF(ISNUMBER((AY20+AZ20)/BA20),(AY20+AZ20)/BA20," - ")</f>
        <v>2.7706137631742096</v>
      </c>
      <c r="BH20" s="210">
        <f>SUBTOTAL(9,BH9:BH19)</f>
        <v>15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T0F+7n9aLb6PqucP1ZrthGEIgGRy4b+oEOa+UhbeAOe+BcQ+sZQVV917GpcqMPaU/t8jmWiMrEjt5n4t8+uaA==" saltValue="3pg5/FNdzHeUE9m2OZJbj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eHtrSvAn1mhL/Gtb650eBNEJ83CGQKjOkRq/z7326ORk/dLHWpb0xMDCjaQ4BeF0kBXt1gW9cK75f5qFj6Yw==" saltValue="JcKgM8CgJci7vWj3I9TLm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MARBELLA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176</v>
      </c>
      <c r="O9" s="333"/>
      <c r="P9" s="333"/>
      <c r="Q9" s="225">
        <f>IF(ISNUMBER(Datos!P9),Datos!P9,0)</f>
        <v>638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361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368</v>
      </c>
      <c r="AI9" s="333" t="str">
        <f>IF(ISNUMBER(Datos!CD9),Datos!CD9,"-")</f>
        <v>-</v>
      </c>
      <c r="AJ9" s="333" t="str">
        <f>IF(ISNUMBER(Datos!EN9),Datos!EN9," - ")</f>
        <v xml:space="preserve"> - </v>
      </c>
      <c r="AK9" s="333"/>
      <c r="AL9" s="478"/>
      <c r="AM9" s="334">
        <f>IF(ISNUMBER(Datos!R9),Datos!R9," - ")</f>
        <v>13729</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840</v>
      </c>
      <c r="BD9" s="228">
        <f>IF(ISNUMBER(Datos!N9),Datos!N9," - ")</f>
        <v>1113</v>
      </c>
      <c r="BE9" s="228" t="str">
        <f>IF(ISNUMBER(Datos!BW9),Datos!BW9," - ")</f>
        <v xml:space="preserve"> - </v>
      </c>
      <c r="BF9" s="227" t="str">
        <f>IF(ISNUMBER(Datos!BX9),Datos!BX9," - ")</f>
        <v xml:space="preserve"> - </v>
      </c>
      <c r="BG9" s="242">
        <f>IF(ISNUMBER(IF(J_V="SI",Datos!K9/Datos!J9,(Datos!K9+Datos!AA9)/(Datos!J9+Datos!Z9))),IF(J_V="SI",Datos!K9/Datos!J9,(Datos!K9+Datos!AA9)/(Datos!J9+Datos!Z9))," - ")</f>
        <v>1.0081792318634424</v>
      </c>
      <c r="BH9" s="259">
        <f>IF(ISNUMBER(((IF(J_V="SI",Datos!L9/Datos!K9,(Datos!L9+Datos!AB9)/(Datos!K9+Datos!AA9)))*11)/factor_trimestre),((IF(J_V="SI",Datos!L9/Datos!K9,(Datos!L9+Datos!AB9)/(Datos!K9+Datos!AA9)))*11)/factor_trimestre," - ")</f>
        <v>12.9005291005291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2.0591733571216176E-2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118</v>
      </c>
      <c r="G10" s="332">
        <f>IF(ISNUMBER(Datos!I10),Datos!I10," - ")</f>
        <v>118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43</v>
      </c>
      <c r="AC10" s="225">
        <f>IF(ISNUMBER(Datos!Q10),Datos!Q10," - ")</f>
        <v>1</v>
      </c>
      <c r="AD10" s="333"/>
      <c r="AE10" s="483"/>
      <c r="AF10" s="331">
        <f>IF(ISNUMBER(Datos!L10),Datos!L10,"-")</f>
        <v>116</v>
      </c>
      <c r="AG10" s="333"/>
      <c r="AH10" s="333"/>
      <c r="AI10" s="333"/>
      <c r="AJ10" s="333"/>
      <c r="AK10" s="333"/>
      <c r="AL10" s="478"/>
      <c r="AM10" s="334">
        <f>IF(ISNUMBER(Datos!R10),Datos!R10," - ")</f>
        <v>55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17</v>
      </c>
      <c r="BD10" s="228">
        <f>IF(ISNUMBER(Datos!N10),Datos!N10," - ")</f>
        <v>22</v>
      </c>
      <c r="BE10" s="228" t="str">
        <f>IF(ISNUMBER(Datos!BW10),Datos!BW10," - ")</f>
        <v xml:space="preserve"> - </v>
      </c>
      <c r="BF10" s="227" t="str">
        <f>IF(ISNUMBER(Datos!BX10),Datos!BX10," - ")</f>
        <v xml:space="preserve"> - </v>
      </c>
      <c r="BG10" s="242">
        <f>IF(ISNUMBER(Datos!K10/Datos!J10),Datos!K10/Datos!J10," - ")</f>
        <v>1.0487804878048781</v>
      </c>
      <c r="BH10" s="259">
        <f>IF(ISNUMBER(((Datos!L10/Datos!K10)*11)/factor_trimestre),((Datos!L10/Datos!K10)*11)/factor_trimestre," - ")</f>
        <v>8.0930232558139537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118</v>
      </c>
      <c r="G13" s="895">
        <f t="shared" si="0"/>
        <v>118</v>
      </c>
      <c r="H13" s="896">
        <f t="shared" si="0"/>
        <v>0</v>
      </c>
      <c r="I13" s="895">
        <f t="shared" si="0"/>
        <v>0</v>
      </c>
      <c r="J13" s="864">
        <f t="shared" si="0"/>
        <v>0</v>
      </c>
      <c r="K13" s="864">
        <f t="shared" si="0"/>
        <v>0</v>
      </c>
      <c r="L13" s="896">
        <f t="shared" si="0"/>
        <v>0</v>
      </c>
      <c r="M13" s="896">
        <f t="shared" si="0"/>
        <v>0</v>
      </c>
      <c r="N13" s="896">
        <f t="shared" si="0"/>
        <v>176</v>
      </c>
      <c r="O13" s="897">
        <f t="shared" si="0"/>
        <v>0</v>
      </c>
      <c r="P13" s="897">
        <f t="shared" si="0"/>
        <v>0</v>
      </c>
      <c r="Q13" s="896">
        <f t="shared" si="0"/>
        <v>644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43</v>
      </c>
      <c r="AC13" s="896">
        <f t="shared" si="1"/>
        <v>362</v>
      </c>
      <c r="AD13" s="896">
        <f t="shared" si="1"/>
        <v>0</v>
      </c>
      <c r="AE13" s="896">
        <f t="shared" si="1"/>
        <v>0</v>
      </c>
      <c r="AF13" s="896">
        <f t="shared" si="1"/>
        <v>116</v>
      </c>
      <c r="AG13" s="896">
        <f t="shared" si="1"/>
        <v>0</v>
      </c>
      <c r="AH13" s="896">
        <f t="shared" si="1"/>
        <v>368</v>
      </c>
      <c r="AI13" s="896">
        <f t="shared" si="1"/>
        <v>0</v>
      </c>
      <c r="AJ13" s="896">
        <f t="shared" si="1"/>
        <v>0</v>
      </c>
      <c r="AK13" s="896">
        <f t="shared" si="1"/>
        <v>0</v>
      </c>
      <c r="AL13" s="896">
        <f t="shared" si="1"/>
        <v>0</v>
      </c>
      <c r="AM13" s="896">
        <f t="shared" si="1"/>
        <v>13784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857</v>
      </c>
      <c r="BD13" s="896">
        <f t="shared" si="1"/>
        <v>1135</v>
      </c>
      <c r="BE13" s="896">
        <f t="shared" si="1"/>
        <v>0</v>
      </c>
      <c r="BF13" s="896">
        <f t="shared" si="1"/>
        <v>0</v>
      </c>
      <c r="BG13" s="896">
        <f>IF(ISNUMBER(Datos!K13/Datos!J13),Datos!K13/Datos!J13," - ")</f>
        <v>1.0272693313410535</v>
      </c>
      <c r="BH13" s="900">
        <f>IF(ISNUMBER(((Datos!L13/Datos!K13)*11)/factor_trimestre),((Datos!L13/Datos!K13)*11)/factor_trimestre," - ")</f>
        <v>13.024363636363637</v>
      </c>
      <c r="BI13" s="896">
        <f>IF(ISNUMBER('Resol  Asuntos'!D13/NºAsuntos!G13),'Resol  Asuntos'!D13/NºAsuntos!G13," - ")</f>
        <v>0.29777623349548299</v>
      </c>
      <c r="BJ13" s="896" t="str">
        <f>IF(ISNUMBER(Datos!CI13/Datos!CJ13),Datos!CI13/Datos!CJ13," - ")</f>
        <v xml:space="preserve"> - </v>
      </c>
      <c r="BK13" s="896">
        <f>SUBTOTAL(9,BK8:BK12)</f>
        <v>0</v>
      </c>
      <c r="BL13" s="896">
        <f>IF(ISNUMBER((I13-AB13+L13)/(F13)),(I13-AB13+L13)/(F13)," - ")</f>
        <v>-0.36440677966101692</v>
      </c>
      <c r="BM13" s="901">
        <f>SUBTOTAL(9,BM9:BM12)</f>
        <v>0.12059173357121618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5715</v>
      </c>
      <c r="G15" s="596">
        <f>IF(ISNUMBER(IF(D_I="SI",Datos!I15,Datos!I15+Datos!AC15)),IF(D_I="SI",Datos!I15,Datos!I15+Datos!AC15)," - ")</f>
        <v>5574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117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5329</v>
      </c>
      <c r="AC15" s="225">
        <f>IF(ISNUMBER(Datos!Q15),Datos!Q15," - ")</f>
        <v>70</v>
      </c>
      <c r="AD15" s="333"/>
      <c r="AE15" s="483"/>
      <c r="AF15" s="1192">
        <f>IF(ISNUMBER(IF(D_I="SI",Datos!L15,Datos!L15+Datos!AF15)),IF(D_I="SI",Datos!L15,Datos!L15+Datos!AF15)," - ")</f>
        <v>5563</v>
      </c>
      <c r="AG15" s="333"/>
      <c r="AH15" s="333"/>
      <c r="AI15" s="333"/>
      <c r="AJ15" s="333"/>
      <c r="AK15" s="333"/>
      <c r="AL15" s="478"/>
      <c r="AM15" s="334">
        <f>IF(ISNUMBER(Datos!R15),Datos!R15," - ")</f>
        <v>269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407</v>
      </c>
      <c r="BD15" s="228">
        <f>IF(ISNUMBER(Datos!N15),Datos!N15," - ")</f>
        <v>3640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1.0293606335715666</v>
      </c>
      <c r="BH15" s="259">
        <f>IF(ISNUMBER(((IF(D_I="SI",Datos!L15/Datos!K15,(Datos!L15+Datos!AF15)/(Datos!K15+Datos!AE15)))*11)/factor_trimestre),((IF(D_I="SI",Datos!L15/Datos!K15,(Datos!L15+Datos!AF15)/(Datos!K15+Datos!AE15)))*11)/factor_trimestre," - ")</f>
        <v>3.1317320322762243</v>
      </c>
      <c r="BI15" s="242">
        <f>IF(ISNUMBER('Resol  Asuntos'!D15/NºAsuntos!G15),'Resol  Asuntos'!D15/NºAsuntos!G15," - ")</f>
        <v>7.6374554325389379E-2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568</v>
      </c>
      <c r="AC18" s="225">
        <f>IF(ISNUMBER(Datos!Q18),Datos!Q18," - ")</f>
        <v>10</v>
      </c>
      <c r="AD18" s="333"/>
      <c r="AE18" s="483"/>
      <c r="AF18" s="331">
        <f>IF(ISNUMBER(Datos!L18),Datos!L18,"-")</f>
        <v>266</v>
      </c>
      <c r="AG18" s="333"/>
      <c r="AH18" s="333"/>
      <c r="AI18" s="333"/>
      <c r="AJ18" s="333"/>
      <c r="AK18" s="333"/>
      <c r="AL18" s="478"/>
      <c r="AM18" s="334">
        <f>IF(ISNUMBER(Datos!R18),Datos!R18," - ")</f>
        <v>30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59</v>
      </c>
      <c r="BD18" s="228">
        <f>IF(ISNUMBER(Datos!N18),Datos!N18," - ")</f>
        <v>397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1.392156862745098</v>
      </c>
      <c r="BH18" s="259">
        <f>IF(ISNUMBER(((IF(D_I="SI",Datos!L18/Datos!K18,(Datos!L18+Datos!AF18)/(Datos!K18+Datos!AE18)))*11)/factor_trimestre),((IF(D_I="SI",Datos!L18/Datos!K18,(Datos!L18+Datos!AF18)/(Datos!K18+Datos!AE18)))*11)/factor_trimestre," - ")</f>
        <v>1.4049295774647887</v>
      </c>
      <c r="BI18" s="242">
        <f>IF(ISNUMBER('Resol  Asuntos'!D18/NºAsuntos!G18),'Resol  Asuntos'!D18/NºAsuntos!G18," - ")</f>
        <v>0.10387323943661972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5715</v>
      </c>
      <c r="G19" s="895">
        <f>SUBTOTAL(9,G15:G18)</f>
        <v>6009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5897</v>
      </c>
      <c r="AC19" s="896">
        <f t="shared" si="4"/>
        <v>80</v>
      </c>
      <c r="AD19" s="896">
        <f t="shared" si="4"/>
        <v>0</v>
      </c>
      <c r="AE19" s="896">
        <f t="shared" si="4"/>
        <v>0</v>
      </c>
      <c r="AF19" s="896">
        <f t="shared" si="4"/>
        <v>5829</v>
      </c>
      <c r="AG19" s="896">
        <f t="shared" si="4"/>
        <v>0</v>
      </c>
      <c r="AH19" s="896">
        <f t="shared" si="4"/>
        <v>0</v>
      </c>
      <c r="AI19" s="896">
        <f t="shared" si="4"/>
        <v>0</v>
      </c>
      <c r="AJ19" s="896">
        <f t="shared" si="4"/>
        <v>0</v>
      </c>
      <c r="AK19" s="896">
        <f t="shared" si="4"/>
        <v>0</v>
      </c>
      <c r="AL19" s="896">
        <f t="shared" si="4"/>
        <v>0</v>
      </c>
      <c r="AM19" s="896">
        <f t="shared" si="4"/>
        <v>299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466</v>
      </c>
      <c r="BD19" s="896">
        <f t="shared" si="4"/>
        <v>4037</v>
      </c>
      <c r="BE19" s="896">
        <f t="shared" si="4"/>
        <v>0</v>
      </c>
      <c r="BF19" s="896">
        <f t="shared" si="4"/>
        <v>0</v>
      </c>
      <c r="BG19" s="896">
        <f>IF(ISNUMBER(Datos!K19/Datos!J19),Datos!K19/Datos!J19," - ")</f>
        <v>1.0558639212175469</v>
      </c>
      <c r="BH19" s="900">
        <f>IF(ISNUMBER(((Datos!L19/Datos!K19)*11)/factor_trimestre),((Datos!L19/Datos!K19)*11)/factor_trimestre," - ")</f>
        <v>2.9654061387146009</v>
      </c>
      <c r="BI19" s="896">
        <f>SUBTOTAL(9,BI15:BI18)</f>
        <v>0.18024779376200911</v>
      </c>
      <c r="BJ19" s="896">
        <f>SUBTOTAL(9,BJ15:BJ18)</f>
        <v>0</v>
      </c>
      <c r="BK19" s="896">
        <f>SUBTOTAL(9,BK15:BK18)</f>
        <v>0</v>
      </c>
      <c r="BL19" s="896">
        <f>IF(ISNUMBER((I19-AB19+L19)/(F19)),(I19-AB19+L19)/(F19)," - ")</f>
        <v>-1.031846019247594</v>
      </c>
      <c r="BM19" s="902">
        <f>IF(ISNUMBER((Datos!P19-Datos!Q19)/(Datos!R19-Datos!P19+Datos!Q19)),(Datos!P19-Datos!Q19)/(Datos!R19-Datos!P19+Datos!Q19)," - ")</f>
        <v>0.21544715447154472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17</v>
      </c>
      <c r="F20" s="817">
        <f t="shared" si="6"/>
        <v>5833</v>
      </c>
      <c r="G20" s="817">
        <f t="shared" si="6"/>
        <v>6127</v>
      </c>
      <c r="H20" s="819">
        <f t="shared" si="6"/>
        <v>0</v>
      </c>
      <c r="I20" s="817">
        <f t="shared" si="6"/>
        <v>0</v>
      </c>
      <c r="J20" s="819">
        <f t="shared" si="6"/>
        <v>0</v>
      </c>
      <c r="K20" s="819">
        <f t="shared" si="6"/>
        <v>0</v>
      </c>
      <c r="L20" s="878">
        <f t="shared" si="6"/>
        <v>0</v>
      </c>
      <c r="M20" s="878">
        <f t="shared" si="6"/>
        <v>0</v>
      </c>
      <c r="N20" s="878">
        <f t="shared" si="6"/>
        <v>176</v>
      </c>
      <c r="O20" s="878">
        <f t="shared" si="6"/>
        <v>0</v>
      </c>
      <c r="P20" s="878">
        <f t="shared" si="6"/>
        <v>0</v>
      </c>
      <c r="Q20" s="819">
        <f t="shared" si="6"/>
        <v>777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5940</v>
      </c>
      <c r="AC20" s="818">
        <f t="shared" si="7"/>
        <v>442</v>
      </c>
      <c r="AD20" s="818">
        <f t="shared" si="7"/>
        <v>0</v>
      </c>
      <c r="AE20" s="818">
        <f t="shared" si="7"/>
        <v>0</v>
      </c>
      <c r="AF20" s="825">
        <f t="shared" si="7"/>
        <v>5945</v>
      </c>
      <c r="AG20" s="825">
        <f t="shared" si="7"/>
        <v>0</v>
      </c>
      <c r="AH20" s="825">
        <f t="shared" si="7"/>
        <v>368</v>
      </c>
      <c r="AI20" s="825">
        <f t="shared" si="7"/>
        <v>0</v>
      </c>
      <c r="AJ20" s="818">
        <f t="shared" si="7"/>
        <v>0</v>
      </c>
      <c r="AK20" s="825">
        <f t="shared" si="7"/>
        <v>0</v>
      </c>
      <c r="AL20" s="825">
        <f t="shared" si="7"/>
        <v>0</v>
      </c>
      <c r="AM20" s="825">
        <f t="shared" si="7"/>
        <v>14083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1323</v>
      </c>
      <c r="BD20" s="817">
        <f t="shared" si="7"/>
        <v>5172</v>
      </c>
      <c r="BE20" s="817">
        <f t="shared" si="7"/>
        <v>0</v>
      </c>
      <c r="BF20" s="827">
        <f t="shared" si="7"/>
        <v>0</v>
      </c>
      <c r="BG20" s="912">
        <f>IF(ISNUMBER(Datos!K20/Datos!J20),Datos!K20/Datos!J20," - ")</f>
        <v>1.0465988864681675</v>
      </c>
      <c r="BH20" s="912">
        <f>IF(ISNUMBER(((Datos!L20/Datos!K20)*11)/factor_trimestre),((Datos!L20/Datos!K20)*11)/factor_trimestre," - ")</f>
        <v>6.164450098299989</v>
      </c>
      <c r="BI20" s="810">
        <f>IF(ISNUMBER(Datos!J20/Datos!I20),Datos!J20/Datos!I20," - ")</f>
        <v>0.45846512402197437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-1.0183439053660208</v>
      </c>
      <c r="BM20" s="886">
        <f>IF(ISNUMBER((Datos!P20-Datos!Q20+R20)/(Datos!R20-Datos!P20+Datos!Q20-R20)),(Datos!P20-Datos!Q20+R20)/(Datos!R20-Datos!P20+Datos!Q20-R20)," - ")</f>
        <v>2.43671806808263E-2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2450.8000000000002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3.8064273129653858</v>
      </c>
      <c r="F22" s="550">
        <f>IF(ISNUMBER(STDEV(F8:F19)),STDEV(F8:F19),"-")</f>
        <v>3231.4294566543354</v>
      </c>
      <c r="G22" s="551">
        <f>IF(ISNUMBER(STDEV(G8:G19)),STDEV(G8:G19),"-")</f>
        <v>3056.2447055168864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2969.5240359357254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363.24592220698088</v>
      </c>
      <c r="BD22" s="550"/>
      <c r="BE22" s="550">
        <f>IF(ISNUMBER(STDEV(BE8:BE19)),STDEV(BE8:BE19),"-")</f>
        <v>0</v>
      </c>
      <c r="BF22" s="555">
        <f>IF(ISNUMBER(STDEV(BF8:BF19)),STDEV(BF8:BF19),"-")</f>
        <v>0</v>
      </c>
      <c r="BG22" s="772">
        <f>IF(ISNUMBER(STDEV(BG8:BG19)),STDEV(BG8:BG19),"-")</f>
        <v>0.1472359752384737</v>
      </c>
      <c r="BH22" s="773">
        <f>IF(ISNUMBER(STDEV(BH8:BH19)),STDEV(BH8:BH19),"-")</f>
        <v>5.1925283986588129</v>
      </c>
      <c r="BI22" s="248">
        <f>IF(ISNUMBER(STDEV(BI8:BI19)),STDEV(BI8:BI19),"-")</f>
        <v>9.9082839454678606E-2</v>
      </c>
      <c r="BJ22" s="229" t="str">
        <f>IF(ISNUMBER(BL22/BM22),BL22/BM22," - ")</f>
        <v xml:space="preserve"> - </v>
      </c>
      <c r="BK22" s="574"/>
      <c r="BL22" s="558">
        <f>IF(ISNUMBER(STDEV(BL8:BL19)),STDEV(BL8:BL19),"-")</f>
        <v>0.47195081234166131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lmCE102MWKC33EqCoJyz6UOFZoX1bmv9D/hUCY0TirGUHYmgPtqUCHZ8OiENoeSsh8dWa/iwV2sV0vvYPHGNA==" saltValue="QjwUWehxLiy6xUQnlE7Zq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MARBELLA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638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361</v>
      </c>
      <c r="AA9" s="331" t="str">
        <f>IF(ISNUMBER(IF(J_V="SI",Datos!L9,Datos!L9+Datos!AB9)-IF(Monitorios="SI",Datos!CD9,0)),
                          IF(J_V="SI",Datos!L9,Datos!L9+Datos!AB9)-IF(Monitorios="SI",Datos!CD9,0),
                          " - ")</f>
        <v xml:space="preserve"> - </v>
      </c>
      <c r="AB9" s="333"/>
      <c r="AC9" s="333"/>
      <c r="AD9" s="483"/>
      <c r="AE9" s="483">
        <f>IF(ISNUMBER(Datos!R9),Datos!R9," - ")</f>
        <v>13729</v>
      </c>
      <c r="AF9" s="228" t="str">
        <f>IF(ISNUMBER(Datos!BV9),Datos!BV9," - ")</f>
        <v xml:space="preserve"> - </v>
      </c>
      <c r="AG9" s="224" t="str">
        <f>IF(ISNUMBER(Datos!DV9),Datos!DV9," - ")</f>
        <v xml:space="preserve"> - </v>
      </c>
      <c r="AH9" s="297"/>
      <c r="AI9" s="226"/>
      <c r="AJ9" s="224">
        <f>IF(ISNUMBER(Datos!M9),Datos!M9," - ")</f>
        <v>840</v>
      </c>
      <c r="AK9" s="228">
        <f>IF(ISNUMBER(Datos!N9),Datos!N9," - ")</f>
        <v>1113</v>
      </c>
      <c r="AL9" s="228" t="str">
        <f>IF(ISNUMBER(Datos!BW9),Datos!BW9," - ")</f>
        <v xml:space="preserve"> - </v>
      </c>
      <c r="AM9" s="227" t="str">
        <f>IF(ISNUMBER(Datos!BX9),Datos!BX9," - ")</f>
        <v xml:space="preserve"> - </v>
      </c>
      <c r="AN9" s="242"/>
      <c r="AO9" s="259">
        <f>IF(ISNUMBER(((NºAsuntos!I9/NºAsuntos!G9)*11)/factor_trimestre),((NºAsuntos!I9/NºAsuntos!G9)*11)/factor_trimestre," - ")</f>
        <v>12.9005291005291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2.0591733571216176E-2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118</v>
      </c>
      <c r="G10" s="224">
        <f>IF(ISNUMBER(Datos!I10),Datos!I10," - ")</f>
        <v>118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43</v>
      </c>
      <c r="Z10" s="617">
        <f>IF(ISNUMBER(Datos!Q10),Datos!Q10," - ")</f>
        <v>1</v>
      </c>
      <c r="AA10" s="331">
        <f>IF(ISNUMBER(Datos!L10),Datos!L10,"-")</f>
        <v>116</v>
      </c>
      <c r="AB10" s="333"/>
      <c r="AC10" s="333"/>
      <c r="AD10" s="483"/>
      <c r="AE10" s="483">
        <f>IF(ISNUMBER(Datos!R10),Datos!R10," - ")</f>
        <v>55</v>
      </c>
      <c r="AF10" s="228" t="str">
        <f>IF(ISNUMBER(Datos!BV10),Datos!BV10," - ")</f>
        <v xml:space="preserve"> - </v>
      </c>
      <c r="AG10" s="224" t="str">
        <f>IF(ISNUMBER(Datos!DV10),Datos!DV10," - ")</f>
        <v xml:space="preserve"> - </v>
      </c>
      <c r="AH10" s="297"/>
      <c r="AI10" s="226"/>
      <c r="AJ10" s="224">
        <f>IF(ISNUMBER(Datos!M10),Datos!M10," - ")</f>
        <v>17</v>
      </c>
      <c r="AK10" s="228">
        <f>IF(ISNUMBER(Datos!N10),Datos!N10," - ")</f>
        <v>22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8.0930232558139537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118</v>
      </c>
      <c r="G13" s="895">
        <f>SUBTOTAL(9,G8:G12)</f>
        <v>118</v>
      </c>
      <c r="H13" s="905"/>
      <c r="I13" s="895">
        <f t="shared" ref="I13:N13" si="0">SUBTOTAL(9,I8:I12)</f>
        <v>0</v>
      </c>
      <c r="J13" s="864">
        <f t="shared" si="0"/>
        <v>0</v>
      </c>
      <c r="K13" s="905">
        <f t="shared" si="0"/>
        <v>0</v>
      </c>
      <c r="L13" s="905">
        <f t="shared" si="0"/>
        <v>0</v>
      </c>
      <c r="M13" s="905">
        <f t="shared" si="0"/>
        <v>0</v>
      </c>
      <c r="N13" s="905">
        <f t="shared" si="0"/>
        <v>644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43</v>
      </c>
      <c r="Z13" s="904">
        <f t="shared" si="2"/>
        <v>362</v>
      </c>
      <c r="AA13" s="897">
        <f t="shared" si="2"/>
        <v>116</v>
      </c>
      <c r="AB13" s="897">
        <f t="shared" si="2"/>
        <v>0</v>
      </c>
      <c r="AC13" s="897">
        <f t="shared" si="2"/>
        <v>0</v>
      </c>
      <c r="AD13" s="897">
        <f t="shared" si="2"/>
        <v>0</v>
      </c>
      <c r="AE13" s="897">
        <f t="shared" si="2"/>
        <v>13784</v>
      </c>
      <c r="AF13" s="905">
        <f t="shared" si="2"/>
        <v>0</v>
      </c>
      <c r="AG13" s="905">
        <f t="shared" si="2"/>
        <v>0</v>
      </c>
      <c r="AH13" s="905">
        <f t="shared" si="2"/>
        <v>0</v>
      </c>
      <c r="AI13" s="905">
        <f t="shared" si="2"/>
        <v>0</v>
      </c>
      <c r="AJ13" s="905">
        <f t="shared" si="2"/>
        <v>857</v>
      </c>
      <c r="AK13" s="905">
        <f t="shared" si="2"/>
        <v>1135</v>
      </c>
      <c r="AL13" s="905">
        <f t="shared" si="2"/>
        <v>0</v>
      </c>
      <c r="AM13" s="905">
        <f t="shared" si="2"/>
        <v>0</v>
      </c>
      <c r="AN13" s="905">
        <f t="shared" si="2"/>
        <v>0</v>
      </c>
      <c r="AO13" s="901">
        <f>IF(ISNUMBER(((NºAsuntos!I13/NºAsuntos!G13)*11)/factor_trimestre),((NºAsuntos!I13/NºAsuntos!G13)*11)/factor_trimestre," - ")</f>
        <v>12.828700486448923</v>
      </c>
      <c r="AP13" s="907" t="str">
        <f>IF(ISNUMBER(Datos!CI13/Datos!CJ13),Datos!CI13/Datos!CJ13," - ")</f>
        <v xml:space="preserve"> - </v>
      </c>
      <c r="AQ13" s="923">
        <f t="shared" ref="AQ13:AV13" si="3">SUBTOTAL(9,AQ9:AQ12)</f>
        <v>0</v>
      </c>
      <c r="AR13" s="923">
        <f t="shared" si="3"/>
        <v>0.12059173357121618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5715</v>
      </c>
      <c r="G15" s="224">
        <f>IF(ISNUMBER(IF(D_I="SI",Datos!I15,Datos!I15+Datos!AC15)),IF(D_I="SI",Datos!I15,Datos!I15+Datos!AC15)," - ")</f>
        <v>5574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117</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5329</v>
      </c>
      <c r="Z15" s="617">
        <f>IF(ISNUMBER(Datos!Q15),Datos!Q15," - ")</f>
        <v>70</v>
      </c>
      <c r="AA15" s="331">
        <f>IF(ISNUMBER(IF(D_I="SI",Datos!L15,Datos!L15+Datos!AF15)),IF(D_I="SI",Datos!L15,Datos!L15+Datos!AF15)," - ")</f>
        <v>5563</v>
      </c>
      <c r="AB15" s="333"/>
      <c r="AC15" s="333"/>
      <c r="AD15" s="483"/>
      <c r="AE15" s="483">
        <f>IF(ISNUMBER(Datos!R15),Datos!R15," - ")</f>
        <v>269</v>
      </c>
      <c r="AF15" s="228" t="str">
        <f>IF(ISNUMBER(Datos!BV15),Datos!BV15," - ")</f>
        <v xml:space="preserve"> - </v>
      </c>
      <c r="AG15" s="224"/>
      <c r="AH15" s="297"/>
      <c r="AI15" s="226"/>
      <c r="AJ15" s="224">
        <f>IF(ISNUMBER(Datos!M15),Datos!M15," - ")</f>
        <v>407</v>
      </c>
      <c r="AK15" s="228">
        <f>IF(ISNUMBER(Datos!N15),Datos!N15," - ")</f>
        <v>3640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3.1317320322762243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435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568</v>
      </c>
      <c r="Z18" s="617">
        <f>IF(ISNUMBER(Datos!Q18),Datos!Q18," - ")</f>
        <v>10</v>
      </c>
      <c r="AA18" s="331">
        <f>IF(ISNUMBER(Datos!L18),Datos!L18,"-")</f>
        <v>266</v>
      </c>
      <c r="AB18" s="333"/>
      <c r="AC18" s="333"/>
      <c r="AD18" s="483"/>
      <c r="AE18" s="483">
        <f>IF(ISNUMBER(Datos!R18),Datos!R18," - ")</f>
        <v>30</v>
      </c>
      <c r="AF18" s="228" t="str">
        <f>IF(ISNUMBER(Datos!BV18),Datos!BV18," - ")</f>
        <v xml:space="preserve"> - </v>
      </c>
      <c r="AG18" s="224" t="str">
        <f>IF(ISNUMBER(Datos!DV18),Datos!DV18," - ")</f>
        <v xml:space="preserve"> - </v>
      </c>
      <c r="AH18" s="297"/>
      <c r="AI18" s="226"/>
      <c r="AJ18" s="224">
        <f>IF(ISNUMBER(Datos!M18),Datos!M18," - ")</f>
        <v>59</v>
      </c>
      <c r="AK18" s="228">
        <f>IF(ISNUMBER(Datos!N18),Datos!N18," - ")</f>
        <v>397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1.4049295774647887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5715</v>
      </c>
      <c r="G19" s="895">
        <f>SUBTOTAL(9,G15:G18)</f>
        <v>6009</v>
      </c>
      <c r="H19" s="927">
        <f>SUBTOTAL(9,H15:H18)</f>
        <v>0</v>
      </c>
      <c r="I19" s="908">
        <f>SUBTOTAL(9,I15:I18)</f>
        <v>0</v>
      </c>
      <c r="J19" s="864">
        <f>SUBTOTAL(9,J14:J18)</f>
        <v>0</v>
      </c>
      <c r="K19" s="927">
        <f t="shared" ref="K19:S19" si="4">SUBTOTAL(9,K15:K18)</f>
        <v>0</v>
      </c>
      <c r="L19" s="927">
        <f t="shared" si="4"/>
        <v>0</v>
      </c>
      <c r="M19" s="927">
        <f t="shared" si="4"/>
        <v>0</v>
      </c>
      <c r="N19" s="927">
        <f t="shared" si="4"/>
        <v>133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5897</v>
      </c>
      <c r="Z19" s="927">
        <f t="shared" si="5"/>
        <v>80</v>
      </c>
      <c r="AA19" s="927">
        <f t="shared" si="5"/>
        <v>5829</v>
      </c>
      <c r="AB19" s="927">
        <f t="shared" si="5"/>
        <v>0</v>
      </c>
      <c r="AC19" s="927">
        <f t="shared" si="5"/>
        <v>0</v>
      </c>
      <c r="AD19" s="927">
        <f t="shared" si="5"/>
        <v>0</v>
      </c>
      <c r="AE19" s="927">
        <f t="shared" si="5"/>
        <v>299</v>
      </c>
      <c r="AF19" s="927">
        <f t="shared" si="5"/>
        <v>0</v>
      </c>
      <c r="AG19" s="927">
        <f t="shared" si="5"/>
        <v>0</v>
      </c>
      <c r="AH19" s="927">
        <f t="shared" si="5"/>
        <v>0</v>
      </c>
      <c r="AI19" s="927">
        <f t="shared" si="5"/>
        <v>0</v>
      </c>
      <c r="AJ19" s="927">
        <f t="shared" si="5"/>
        <v>466</v>
      </c>
      <c r="AK19" s="927">
        <f t="shared" si="5"/>
        <v>4037</v>
      </c>
      <c r="AL19" s="927">
        <f t="shared" si="5"/>
        <v>0</v>
      </c>
      <c r="AM19" s="927">
        <f t="shared" si="5"/>
        <v>0</v>
      </c>
      <c r="AN19" s="927">
        <f t="shared" si="5"/>
        <v>0</v>
      </c>
      <c r="AO19" s="929">
        <f>IF(ISNUMBER(((NºAsuntos!I19/NºAsuntos!G19)*11)/factor_trimestre),((NºAsuntos!I19/NºAsuntos!G19)*11)/factor_trimestre," - ")</f>
        <v>2.9654061387146009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17</v>
      </c>
      <c r="F20" s="817">
        <f t="shared" si="7"/>
        <v>5833</v>
      </c>
      <c r="G20" s="817">
        <f t="shared" si="7"/>
        <v>6127</v>
      </c>
      <c r="H20" s="818">
        <f t="shared" si="7"/>
        <v>0</v>
      </c>
      <c r="I20" s="817">
        <f t="shared" si="7"/>
        <v>0</v>
      </c>
      <c r="J20" s="819">
        <f t="shared" si="7"/>
        <v>0</v>
      </c>
      <c r="K20" s="817">
        <f t="shared" si="7"/>
        <v>0</v>
      </c>
      <c r="L20" s="820">
        <f t="shared" si="7"/>
        <v>0</v>
      </c>
      <c r="M20" s="817">
        <f t="shared" si="7"/>
        <v>0</v>
      </c>
      <c r="N20" s="818">
        <f t="shared" si="7"/>
        <v>777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5940</v>
      </c>
      <c r="Z20" s="824">
        <f t="shared" si="8"/>
        <v>442</v>
      </c>
      <c r="AA20" s="825">
        <f t="shared" si="8"/>
        <v>5945</v>
      </c>
      <c r="AB20" s="825">
        <f t="shared" si="8"/>
        <v>0</v>
      </c>
      <c r="AC20" s="825">
        <f t="shared" si="8"/>
        <v>0</v>
      </c>
      <c r="AD20" s="826">
        <f t="shared" si="8"/>
        <v>0</v>
      </c>
      <c r="AE20" s="826">
        <f t="shared" si="8"/>
        <v>14083</v>
      </c>
      <c r="AF20" s="827">
        <f t="shared" si="8"/>
        <v>0</v>
      </c>
      <c r="AG20" s="828">
        <f t="shared" si="8"/>
        <v>0</v>
      </c>
      <c r="AH20" s="829">
        <f t="shared" si="8"/>
        <v>0</v>
      </c>
      <c r="AI20" s="827">
        <f t="shared" si="8"/>
        <v>0</v>
      </c>
      <c r="AJ20" s="817">
        <f t="shared" si="8"/>
        <v>1323</v>
      </c>
      <c r="AK20" s="817">
        <f t="shared" si="8"/>
        <v>5172</v>
      </c>
      <c r="AL20" s="817">
        <f t="shared" si="8"/>
        <v>0</v>
      </c>
      <c r="AM20" s="830">
        <f t="shared" si="8"/>
        <v>0</v>
      </c>
      <c r="AN20" s="820">
        <f>IF(ISNUMBER(Datos!K20/Datos!J20),Datos!K20/Datos!J20," - ")</f>
        <v>1.0465988864681675</v>
      </c>
      <c r="AO20" s="820">
        <f>IF(ISNUMBER(FIND("06",Criterios!A8,1)),(IF(ISNUMBER(((Datos!R20/Datos!Q20)*11)/factor_trimestre),((Datos!R20/Datos!Q20)*11)/factor_trimestre," - ")),(IF(ISNUMBER(((Datos!L20/Datos!K20)*11)/factor_trimestre),((Datos!L20/Datos!K20)*11)/factor_trimestre," - ")))</f>
        <v>6.164450098299989</v>
      </c>
      <c r="AP20" s="831" t="str">
        <f>IF(ISNUMBER(Datos!CI20/Datos!CJ20),Datos!CI20/Datos!CJ20," - ")</f>
        <v xml:space="preserve"> - </v>
      </c>
      <c r="AQ20" s="831">
        <f>IF(OR(ISNUMBER(FIND("01",Criterios!A8,1)),ISNUMBER(FIND("02",Criterios!A8,1)),ISNUMBER(FIND("03",Criterios!A8,1)),ISNUMBER(FIND("04",Criterios!A8,1))),(J20-Y20+K20)/(F20-K20),(I20-Y20+K20)/(F20-K20))</f>
        <v>-1.0183439053660208</v>
      </c>
      <c r="AR20" s="831">
        <f>IF(ISNUMBER((Datos!P20-Datos!Q20+O20)/(Datos!R20-Datos!P20+Datos!Q20-O20)),(Datos!P20-Datos!Q20+O20)/(Datos!R20-Datos!P20+Datos!Q20-O20)," - ")</f>
        <v>2.43671806808263E-2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2450.8000000000002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3231.4294566543354</v>
      </c>
      <c r="G22" s="551">
        <f>IF(ISNUMBER(STDEV(G8:G19)),STDEV(G8:G19),"-")</f>
        <v>3056.2447055168864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363.24592220698088</v>
      </c>
      <c r="AK22" s="251"/>
      <c r="AL22" s="251">
        <f>IF(ISNUMBER(STDEV(AL8:AL19)),STDEV(AL8:AL19),"-")</f>
        <v>0</v>
      </c>
      <c r="AM22" s="253">
        <f>IF(ISNUMBER(STDEV(AM8:AM19)),STDEV(AM8:AM19),"-")</f>
        <v>0</v>
      </c>
      <c r="AN22" s="538">
        <f>IF(ISNUMBER(STDEV(AN8:AN19)),STDEV(AN8:AN19),"-")</f>
        <v>0</v>
      </c>
      <c r="AO22" s="539">
        <f>IF(ISNUMBER(STDEV(AO8:AO19)),STDEV(AO8:AO19),"-")</f>
        <v>5.1469381218261567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tkF3tYPIpjlGk7lKU+OvN951C39CREhq7IOVkUD7fhOzWHyvtzqwlqRkn9OljIXd+7Rz6kXk0WDKBdflSi8CA==" saltValue="A9CpUyq8Cz7roR8IN9DyO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5tz4B6e9UoOCkOAIZ1vWCyL/5nt/zUsIQLfZcEs+VwWKStvzwgoq0LLcvt9PY5q5hy8y2TjMo0lkXTUwwm9Fw==" saltValue="IqJ1rijZOmdVH98kQehA9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sqAyIGfTSXoGuvzi/M1/t5B20VWBfDQ20Vyl1MEE3sW0iocb7iOXBP5pJWJ5Bngk8NAm/GYXo+3m+SqRIPWmQ==" saltValue="OGNPZ0F258dCmAJfLjfoy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MARBELLA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0.29777623349548299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0.21055959398084478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AmVHxYS5JKe1t35NTSYyyFVjiw2xi3u6yS7aDmSlTp43EWvSZDwKTI3wpZnASTRWeUf8WIEqQKvbjRxYxwTMA==" saltValue="i1XyRQpIjpsWNO1MCN+6X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dkL8wdRyOU3WFDpeZdQGWXnkymYjJ178Jy2HkWFc7uCkifIPZyNyUfWfOymFyk5Q+YfMvgJK8ElyGZ68N396Q==" saltValue="xX9RAvbk8WuHwNUbDXRMz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MARBELLA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v>
      </c>
      <c r="B9" s="500" t="s">
        <v>247</v>
      </c>
      <c r="C9" s="159" t="str">
        <f>Datos!A9</f>
        <v>Sección Civil del T.I</v>
      </c>
      <c r="D9" s="501"/>
      <c r="E9" s="679">
        <f>IF(ISNUMBER(Datos!AQ9),Datos!AQ9," - ")</f>
        <v>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118</v>
      </c>
      <c r="G10" s="681">
        <f>IF(ISNUMBER(Datos!I10),Datos!I10," - ")</f>
        <v>118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43</v>
      </c>
      <c r="AC10" s="680" t="str">
        <f>IF(ISNUMBER(IF(D_I="SI",DatosP!K18,DatosP!K18+DatosP!AE18)),IF(D_I="SI",DatosP!K18,DatosP!K18+DatosP!AE18)," - ")</f>
        <v xml:space="preserve"> - </v>
      </c>
      <c r="AD10" s="682"/>
      <c r="AE10" s="682"/>
      <c r="AF10" s="685">
        <f>IF(ISNUMBER(Datos!L10),Datos!L10,"-")</f>
        <v>116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17</v>
      </c>
      <c r="AM10" s="687">
        <f>IF(ISNUMBER(Datos!N10+DatosP!N18),Datos!N10+DatosP!N18," - ")</f>
        <v>22</v>
      </c>
      <c r="AN10" s="687">
        <f>IF(ISNUMBER(Datos!BW10+DatosP!BW18),Datos!BW10+DatosP!BW18," - ")</f>
        <v>0</v>
      </c>
      <c r="AO10" s="688">
        <f>IF(ISNUMBER(Datos!BX10+DatosP!BX18),Datos!BX10+DatosP!BX18," - ")</f>
        <v>0</v>
      </c>
      <c r="AP10" s="690">
        <f>IF(ISNUMBER(((Datos!L10/Datos!K10)*11)/factor_trimestre),((Datos!L10/Datos!K10)*11)/factor_trimestre," - ")</f>
        <v>8.0930232558139537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118</v>
      </c>
      <c r="G13" s="933">
        <f t="shared" si="0"/>
        <v>118</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43</v>
      </c>
      <c r="AC13" s="934">
        <f t="shared" si="1"/>
        <v>0</v>
      </c>
      <c r="AD13" s="934">
        <f t="shared" si="1"/>
        <v>0</v>
      </c>
      <c r="AE13" s="934">
        <f t="shared" si="1"/>
        <v>0</v>
      </c>
      <c r="AF13" s="934">
        <f t="shared" si="1"/>
        <v>116</v>
      </c>
      <c r="AG13" s="934">
        <f t="shared" si="1"/>
        <v>0</v>
      </c>
      <c r="AH13" s="934">
        <f t="shared" si="1"/>
        <v>0</v>
      </c>
      <c r="AI13" s="934">
        <f t="shared" si="1"/>
        <v>0</v>
      </c>
      <c r="AJ13" s="934">
        <f t="shared" si="1"/>
        <v>0</v>
      </c>
      <c r="AK13" s="934">
        <f t="shared" si="1"/>
        <v>0</v>
      </c>
      <c r="AL13" s="934">
        <f t="shared" si="1"/>
        <v>17</v>
      </c>
      <c r="AM13" s="934">
        <f t="shared" si="1"/>
        <v>22</v>
      </c>
      <c r="AN13" s="934">
        <f t="shared" si="1"/>
        <v>0</v>
      </c>
      <c r="AO13" s="934">
        <f t="shared" si="1"/>
        <v>0</v>
      </c>
      <c r="AP13" s="939">
        <f>IF(ISNUMBER(((Datos!L13/Datos!K13)*11)/factor_trimestre),((Datos!L13/Datos!K13)*11)/factor_trimestre," - ")</f>
        <v>13.024363636363637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-0.36440677966101692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2.9654061387146009</v>
      </c>
      <c r="AQ19" s="939">
        <f>IF(ISNUMBER(((Datos!M19/Datos!L19)*11)/factor_trimestre),((Datos!M19/Datos!L19)*11)/factor_trimestre," - ")</f>
        <v>0.23983530622748328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0.21544715447154472</v>
      </c>
      <c r="AW19" s="941">
        <f>IF(ISNUMBER((Datos!Q19-Datos!R19)/(Datos!S19-Datos!Q19+Datos!R19)),(Datos!Q19-Datos!R19)/(Datos!S19-Datos!Q19+Datos!R19)," - ")</f>
        <v>-4.2367962855484623E-2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118</v>
      </c>
      <c r="G20" s="946">
        <f t="shared" si="4"/>
        <v>118</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43</v>
      </c>
      <c r="AC20" s="952">
        <f t="shared" si="5"/>
        <v>0</v>
      </c>
      <c r="AD20" s="952">
        <f t="shared" si="5"/>
        <v>0</v>
      </c>
      <c r="AE20" s="952">
        <f t="shared" si="5"/>
        <v>0</v>
      </c>
      <c r="AF20" s="953">
        <f t="shared" si="5"/>
        <v>116</v>
      </c>
      <c r="AG20" s="953">
        <f t="shared" si="5"/>
        <v>0</v>
      </c>
      <c r="AH20" s="953">
        <f t="shared" si="5"/>
        <v>0</v>
      </c>
      <c r="AI20" s="953">
        <f t="shared" si="5"/>
        <v>0</v>
      </c>
      <c r="AJ20" s="954">
        <f t="shared" si="5"/>
        <v>0</v>
      </c>
      <c r="AK20" s="954">
        <f t="shared" si="5"/>
        <v>0</v>
      </c>
      <c r="AL20" s="946">
        <f t="shared" si="5"/>
        <v>17</v>
      </c>
      <c r="AM20" s="946">
        <f t="shared" si="5"/>
        <v>22</v>
      </c>
      <c r="AN20" s="946">
        <f t="shared" si="5"/>
        <v>0</v>
      </c>
      <c r="AO20" s="946">
        <f t="shared" si="5"/>
        <v>0</v>
      </c>
      <c r="AP20" s="946">
        <f>IF(ISNUMBER(((Datos!L20/Datos!K20)*11)/factor_trimestre),((Datos!L20/Datos!K20)*11)/factor_trimestre," - ")</f>
        <v>6.164450098299989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-0.36440677966101692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2.43671806808263E-2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4.5018514709691022</v>
      </c>
      <c r="F22" s="733">
        <f>IF(ISNUMBER(STDEV(F8:F19)),STDEV(F8:F19),"-")</f>
        <v>68.127331764375839</v>
      </c>
      <c r="G22" s="734">
        <f>IF(ISNUMBER(STDEV(G8:G19)),STDEV(G8:G19),"-")</f>
        <v>68.127331764375839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24.826061575153908</v>
      </c>
      <c r="AC22" s="735">
        <f>IF(ISNUMBER(STDEV(AC8:AC19)),STDEV(AC8:AC19),"-")</f>
        <v>0</v>
      </c>
      <c r="AD22" s="738"/>
      <c r="AE22" s="738"/>
      <c r="AF22" s="738"/>
      <c r="AG22" s="738"/>
      <c r="AH22" s="738"/>
      <c r="AI22" s="738"/>
      <c r="AJ22" s="739">
        <f>IF(ISNUMBER(STDEV(AJ8:AJ19)),STDEV(AJ8:AJ19),"-")</f>
        <v>0</v>
      </c>
      <c r="AK22" s="741"/>
      <c r="AL22" s="733">
        <f>IF(ISNUMBER(STDEV(AL8:AL19)),STDEV(AL8:AL19),"-")</f>
        <v>9.8149545762236379</v>
      </c>
      <c r="AM22" s="733"/>
      <c r="AN22" s="733">
        <f>IF(ISNUMBER(STDEV(AN8:AN19)),STDEV(AN8:AN19),"-")</f>
        <v>0</v>
      </c>
      <c r="AO22" s="739">
        <f>IF(ISNUMBER(STDEV(AO8:AO19)),STDEV(AO8:AO19),"-")</f>
        <v>0</v>
      </c>
      <c r="AP22" s="776">
        <f>IF(ISNUMBER(STDEV(AP8:AP19)),STDEV(AP8:AP19),"-")</f>
        <v>5.0297978950106224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Gw/7Y8W+fhgPZRPq6v5i4FZm5Tt5ioMfoYxV7Vz41pGK+UyeEaglHgNiajea9f50lsZCT8C+fiN05qiMIGUYg==" saltValue="6ypPcFrdb/yDuouHoaOtz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MARBELLA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176</v>
      </c>
      <c r="O9" s="333"/>
      <c r="P9" s="333"/>
      <c r="Q9" s="225">
        <f>IF(ISNUMBER(Datos!P9),Datos!P9,0)</f>
        <v>638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361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368</v>
      </c>
      <c r="AI9" s="224" t="str">
        <f>IF(ISNUMBER(Datos!CD9),Datos!CD9,"-")</f>
        <v>-</v>
      </c>
      <c r="AJ9" s="224" t="str">
        <f>IF(ISNUMBER(Datos!EN9),Datos!EN9," - ")</f>
        <v xml:space="preserve"> - </v>
      </c>
      <c r="AK9" s="333"/>
      <c r="AL9" s="478"/>
      <c r="AM9" s="224">
        <f>IF(ISNUMBER(Datos!R9),Datos!R9," - ")</f>
        <v>13729</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840</v>
      </c>
      <c r="BD9" s="228">
        <f>IF(ISNUMBER(Datos!N9),Datos!N9," - ")</f>
        <v>1113</v>
      </c>
      <c r="BE9" s="224" t="str">
        <f>IF(ISNUMBER(Datos!BW9),Datos!BW9," - ")</f>
        <v xml:space="preserve"> - </v>
      </c>
      <c r="BF9" s="224" t="str">
        <f>IF(ISNUMBER(Datos!BX9),Datos!BX9," - ")</f>
        <v xml:space="preserve"> - </v>
      </c>
      <c r="BG9" s="242">
        <f>IF(ISNUMBER(IF(J_V="SI",Datos!K9/Datos!J9,(Datos!K9+Datos!AA9)/(Datos!J9+Datos!Z9))),IF(J_V="SI",Datos!K9/Datos!J9,(Datos!K9+Datos!AA9)/(Datos!J9+Datos!Z9))," - ")</f>
        <v>1.0081792318634424</v>
      </c>
      <c r="BH9" s="224">
        <f>IF(ISNUMBER(((IF(J_V="SI",Datos!L9/Datos!K9,(Datos!L9+Datos!AB9)/(Datos!K9+Datos!AA9)))*11)/factor_trimestre),((IF(J_V="SI",Datos!L9/Datos!K9,(Datos!L9+Datos!AB9)/(Datos!K9+Datos!AA9)))*11)/factor_trimestre," - ")</f>
        <v>12.9005291005291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2.0591733571216176E-2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2078.9524035935729</v>
      </c>
      <c r="CF9" s="228">
        <f ca="1">AVERAGEIFS($AB:$AB,$BW:$BW,BW9,$BX:$BX,BX9)</f>
        <v>2078.9524035935729</v>
      </c>
      <c r="CG9" s="1191">
        <v>0.7</v>
      </c>
      <c r="CH9" s="1191">
        <f ca="1">AVERAGEIF($BW:$BW,$BW9,$AC:$AC)</f>
        <v>132.6</v>
      </c>
      <c r="CI9" s="228">
        <f ca="1">AVERAGEIFS($AC:$AC,$BW:$BW,$BW9,$BX:$BX,$BX9)</f>
        <v>132.6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1981.6666666666667</v>
      </c>
      <c r="CR9" s="228">
        <f ca="1">AVERAGEIFS($AF:$AF,$BW:$BW,BW9,$BX:$BX,BX9)</f>
        <v>1981.6666666666667</v>
      </c>
      <c r="CS9" s="1191">
        <v>1.3</v>
      </c>
      <c r="CT9" s="1191">
        <v>1.5</v>
      </c>
      <c r="CU9" s="1191">
        <f ca="1">AVERAGEIF($BW:$BW,$BW9,$AH:$AH)</f>
        <v>157.71428571428572</v>
      </c>
      <c r="CV9" s="228">
        <f ca="1">AVERAGEIFS($AH:$AH,$BW:$BW,$BW9,$BX:$BX,$BX9)</f>
        <v>157.71428571428572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4224.8999999999996</v>
      </c>
      <c r="DH9" s="228">
        <f ca="1">AVERAGEIFS($AM:$AM,$BW:$BW,$BW9,$BX:$BX,$BX9)</f>
        <v>4224.8999999999996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4.806996567101919</v>
      </c>
      <c r="ER9" s="228">
        <f ca="1">AVERAGEIFS($BH:$BH,$BW:$BW,$BW9,$BX:$BX,$BX9)</f>
        <v>4.806996567101919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118</v>
      </c>
      <c r="G10" s="332">
        <f>IF(ISNUMBER(Datos!I10),Datos!I10," - ")</f>
        <v>118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43</v>
      </c>
      <c r="AC10" s="224">
        <f>IF(ISNUMBER(Datos!Q10),Datos!Q10," - ")</f>
        <v>1</v>
      </c>
      <c r="AD10" s="224"/>
      <c r="AE10" s="224"/>
      <c r="AF10" s="224">
        <f>IF(ISNUMBER(Datos!L10),Datos!L10,"-")</f>
        <v>116</v>
      </c>
      <c r="AG10" s="333"/>
      <c r="AH10" s="224"/>
      <c r="AI10" s="224"/>
      <c r="AJ10" s="224"/>
      <c r="AK10" s="333"/>
      <c r="AL10" s="478"/>
      <c r="AM10" s="224">
        <f>IF(ISNUMBER(Datos!R10),Datos!R10," - ")</f>
        <v>55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17</v>
      </c>
      <c r="BD10" s="228">
        <f>IF(ISNUMBER(Datos!N10),Datos!N10," - ")</f>
        <v>22</v>
      </c>
      <c r="BE10" s="224" t="str">
        <f>IF(ISNUMBER(Datos!BW10),Datos!BW10," - ")</f>
        <v xml:space="preserve"> - </v>
      </c>
      <c r="BF10" s="224" t="str">
        <f>IF(ISNUMBER(Datos!BX10),Datos!BX10," - ")</f>
        <v xml:space="preserve"> - </v>
      </c>
      <c r="BG10" s="242">
        <f>IF(ISNUMBER(Datos!K10/Datos!J10),Datos!K10/Datos!J10," - ")</f>
        <v>1.0487804878048781</v>
      </c>
      <c r="BH10" s="224">
        <f>IF(ISNUMBER(((Datos!L10/Datos!K10)*11)/factor_trimestre),((Datos!L10/Datos!K10)*11)/factor_trimestre," - ")</f>
        <v>8.0930232558139537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2078.9524035935729</v>
      </c>
      <c r="CF10" s="228">
        <f ca="1">AVERAGEIFS($AB:$AB,$BW:$BW,BW10,$BX:$BX,BX10)</f>
        <v>2078.9524035935729</v>
      </c>
      <c r="CG10" s="1191">
        <v>0.7</v>
      </c>
      <c r="CH10" s="1191">
        <f ca="1">AVERAGEIF($BW:$BW,BW10,$AC:$AC)</f>
        <v>132.6</v>
      </c>
      <c r="CI10" s="228">
        <f ca="1">AVERAGEIFS($AC:$AC,$BW:$BW,BW10,$BX:$BX,BX10)</f>
        <v>132.6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1981.6666666666667</v>
      </c>
      <c r="CR10" s="228">
        <f ca="1">AVERAGEIFS($AF:$AF,$BW:$BW,BW10,$BX:$BX,BX10)</f>
        <v>1981.6666666666667</v>
      </c>
      <c r="CS10" s="1191">
        <v>1.3</v>
      </c>
      <c r="CT10" s="1191">
        <v>1.5</v>
      </c>
      <c r="CU10" s="1191">
        <f ca="1">AVERAGEIF($BW:$BW,$BW10,$AH:$AH)</f>
        <v>157.71428571428572</v>
      </c>
      <c r="CV10" s="228">
        <f ca="1">AVERAGEIFS($AH:$AH,$BW:$BW,$BW10,$BX:$BX,$BX10)</f>
        <v>157.71428571428572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4224.8999999999996</v>
      </c>
      <c r="DH10" s="228">
        <f ca="1">AVERAGEIFS($AM:$AM,$BW:$BW,$BW10,$BX:$BX,$BX10)</f>
        <v>4224.8999999999996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4.806996567101919</v>
      </c>
      <c r="ER10" s="228">
        <f ca="1">AVERAGEIFS($BH:$BH,$BW:$BW,$BW10,$BX:$BX,$BX10)</f>
        <v>4.806996567101919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2078.9524035935729</v>
      </c>
      <c r="CF11" s="228">
        <f ca="1">AVERAGEIFS($AB:$AB,$BW:$BW,BW11,$BX:$BX,BX11)</f>
        <v>2078.9524035935729</v>
      </c>
      <c r="CG11" s="1191">
        <v>0.7</v>
      </c>
      <c r="CH11" s="1191">
        <f ca="1">AVERAGEIF($BW:$BW,BW11,$AC:$AC)</f>
        <v>132.6</v>
      </c>
      <c r="CI11" s="228">
        <f ca="1">AVERAGEIFS($AC:$AC,$BW:$BW,BW11,$BX:$BX,BX11)</f>
        <v>132.6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1981.6666666666667</v>
      </c>
      <c r="CR11" s="228">
        <f ca="1">AVERAGEIFS($AF:$AF,$BW:$BW,BW11,$BX:$BX,BX11)</f>
        <v>1981.6666666666667</v>
      </c>
      <c r="CS11" s="1191">
        <v>1.3</v>
      </c>
      <c r="CT11" s="1191">
        <v>1.5</v>
      </c>
      <c r="CU11" s="1191">
        <f ca="1">AVERAGEIF($BW:$BW,$BW11,$AH:$AH)</f>
        <v>157.71428571428572</v>
      </c>
      <c r="CV11" s="228">
        <f ca="1">AVERAGEIFS($AH:$AH,$BW:$BW,$BW11,$BX:$BX,$BX11)</f>
        <v>157.71428571428572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4224.8999999999996</v>
      </c>
      <c r="DH11" s="228">
        <f ca="1">AVERAGEIFS($AM:$AM,$BW:$BW,$BW11,$BX:$BX,$BX11)</f>
        <v>4224.8999999999996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4.806996567101919</v>
      </c>
      <c r="ER11" s="228">
        <f ca="1">AVERAGEIFS($BH:$BH,$BW:$BW,$BW11,$BX:$BX,$BX11)</f>
        <v>4.806996567101919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2078.9524035935729</v>
      </c>
      <c r="CF12" s="228">
        <f ca="1">AVERAGEIFS($AB:$AB,$BW:$BW,BW12,$BX:$BX,BX12)</f>
        <v>2078.9524035935729</v>
      </c>
      <c r="CG12" s="1191">
        <v>0.7</v>
      </c>
      <c r="CH12" s="1191">
        <f ca="1">AVERAGEIF($BW:$BW,BW12,$AC:$AC)</f>
        <v>132.6</v>
      </c>
      <c r="CI12" s="228">
        <f ca="1">AVERAGEIFS($AC:$AC,$BW:$BW,BW12,$BX:$BX,BX12)</f>
        <v>132.6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1981.6666666666667</v>
      </c>
      <c r="CR12" s="228">
        <f ca="1">AVERAGEIFS($AF:$AF,$BW:$BW,BW12,$BX:$BX,BX12)</f>
        <v>1981.6666666666667</v>
      </c>
      <c r="CS12" s="1191">
        <v>1.3</v>
      </c>
      <c r="CT12" s="1191">
        <v>1.5</v>
      </c>
      <c r="CU12" s="1191">
        <f ca="1">AVERAGEIF($BW:$BW,$BW12,$AH:$AH)</f>
        <v>157.71428571428572</v>
      </c>
      <c r="CV12" s="228">
        <f ca="1">AVERAGEIFS($AH:$AH,$BW:$BW,$BW12,$BX:$BX,$BX12)</f>
        <v>157.71428571428572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4224.8999999999996</v>
      </c>
      <c r="DH12" s="228">
        <f ca="1">AVERAGEIFS($AM:$AM,$BW:$BW,$BW12,$BX:$BX,$BX12)</f>
        <v>4224.8999999999996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4.806996567101919</v>
      </c>
      <c r="ER12" s="228">
        <f ca="1">AVERAGEIFS($BH:$BH,$BW:$BW,$BW12,$BX:$BX,$BX12)</f>
        <v>4.806996567101919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118</v>
      </c>
      <c r="G13" s="895">
        <f t="shared" si="1"/>
        <v>118</v>
      </c>
      <c r="H13" s="896">
        <f t="shared" si="1"/>
        <v>0</v>
      </c>
      <c r="I13" s="895">
        <f t="shared" si="1"/>
        <v>0</v>
      </c>
      <c r="J13" s="864">
        <f t="shared" si="1"/>
        <v>0</v>
      </c>
      <c r="K13" s="864">
        <f t="shared" si="1"/>
        <v>0</v>
      </c>
      <c r="L13" s="896">
        <f t="shared" si="1"/>
        <v>0</v>
      </c>
      <c r="M13" s="896">
        <f t="shared" si="1"/>
        <v>0</v>
      </c>
      <c r="N13" s="896">
        <f t="shared" si="1"/>
        <v>176</v>
      </c>
      <c r="O13" s="897">
        <f t="shared" si="1"/>
        <v>0</v>
      </c>
      <c r="P13" s="897">
        <f t="shared" si="1"/>
        <v>0</v>
      </c>
      <c r="Q13" s="896">
        <f t="shared" si="1"/>
        <v>644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43</v>
      </c>
      <c r="AC13" s="896">
        <f t="shared" si="2"/>
        <v>362</v>
      </c>
      <c r="AD13" s="896">
        <f t="shared" si="2"/>
        <v>0</v>
      </c>
      <c r="AE13" s="896">
        <f t="shared" si="2"/>
        <v>0</v>
      </c>
      <c r="AF13" s="896">
        <f t="shared" si="2"/>
        <v>116</v>
      </c>
      <c r="AG13" s="896">
        <f t="shared" si="2"/>
        <v>0</v>
      </c>
      <c r="AH13" s="896">
        <f t="shared" si="2"/>
        <v>368</v>
      </c>
      <c r="AI13" s="896">
        <f t="shared" si="2"/>
        <v>0</v>
      </c>
      <c r="AJ13" s="896">
        <f t="shared" si="2"/>
        <v>0</v>
      </c>
      <c r="AK13" s="896">
        <f t="shared" si="2"/>
        <v>0</v>
      </c>
      <c r="AL13" s="896">
        <f t="shared" si="2"/>
        <v>0</v>
      </c>
      <c r="AM13" s="896">
        <f t="shared" si="2"/>
        <v>13784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857</v>
      </c>
      <c r="BD13" s="896">
        <f t="shared" si="2"/>
        <v>1135</v>
      </c>
      <c r="BE13" s="896">
        <f t="shared" si="2"/>
        <v>0</v>
      </c>
      <c r="BF13" s="896">
        <f t="shared" si="2"/>
        <v>0</v>
      </c>
      <c r="BG13" s="896">
        <f>IF(ISNUMBER(Datos!K13/Datos!J13),Datos!K13/Datos!J13," - ")</f>
        <v>1.0272693313410535</v>
      </c>
      <c r="BH13" s="900">
        <f>IF(ISNUMBER(((Datos!L13/Datos!K13)*11)/factor_trimestre),((Datos!L13/Datos!K13)*11)/factor_trimestre," - ")</f>
        <v>13.024363636363637</v>
      </c>
      <c r="BI13" s="896">
        <f>IF(ISNUMBER('Resol  Asuntos'!D13/NºAsuntos!G13),'Resol  Asuntos'!D13/NºAsuntos!G13," - ")</f>
        <v>0.29777623349548299</v>
      </c>
      <c r="BJ13" s="896" t="str">
        <f>IF(ISNUMBER(Datos!CI13/Datos!CJ13),Datos!CI13/Datos!CJ13," - ")</f>
        <v xml:space="preserve"> - </v>
      </c>
      <c r="BK13" s="896">
        <f>SUBTOTAL(9,BK8:BK12)</f>
        <v>0</v>
      </c>
      <c r="BL13" s="896">
        <f>IF(ISNUMBER((I13-AB13+L13)/(F13)),(I13-AB13+L13)/(F13)," - ")</f>
        <v>-0.36440677966101692</v>
      </c>
      <c r="BM13" s="901">
        <f>SUBTOTAL(9,BM9:BM12)</f>
        <v>0.12059173357121618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5715</v>
      </c>
      <c r="G15" s="596">
        <f>IF(ISNUMBER(IF(D_I="SI",Datos!I15,Datos!I15+Datos!AC15)),IF(D_I="SI",Datos!I15,Datos!I15+Datos!AC15)," - ")</f>
        <v>5574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117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5329</v>
      </c>
      <c r="AC15" s="224">
        <f>IF(ISNUMBER(Datos!Q15),Datos!Q15," - ")</f>
        <v>70</v>
      </c>
      <c r="AD15" s="224"/>
      <c r="AE15" s="224"/>
      <c r="AF15" s="224">
        <f>IF(ISNUMBER(IF(D_I="SI",Datos!L15,Datos!L15+Datos!AF15)),IF(D_I="SI",Datos!L15,Datos!L15+Datos!AF15)," - ")</f>
        <v>5563</v>
      </c>
      <c r="AG15" s="333"/>
      <c r="AH15" s="224"/>
      <c r="AI15" s="224"/>
      <c r="AJ15" s="224"/>
      <c r="AK15" s="333"/>
      <c r="AL15" s="478"/>
      <c r="AM15" s="224">
        <f>IF(ISNUMBER(Datos!R15),Datos!R15," - ")</f>
        <v>269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407</v>
      </c>
      <c r="BD15" s="228">
        <f>IF(ISNUMBER(Datos!N15),Datos!N15," - ")</f>
        <v>3640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1.0293606335715666</v>
      </c>
      <c r="BH15" s="224">
        <f>IF(ISNUMBER(((IF(D_I="SI",Datos!L15/Datos!K15,(Datos!L15+Datos!AF15)/(Datos!K15+Datos!AE15)))*11)/factor_trimestre),((IF(D_I="SI",Datos!L15/Datos!K15,(Datos!L15+Datos!AF15)/(Datos!K15+Datos!AE15)))*11)/factor_trimestre," - ")</f>
        <v>3.1317320322762243</v>
      </c>
      <c r="BI15" s="242">
        <f>IF(ISNUMBER('Resol  Asuntos'!D15/NºAsuntos!G15),'Resol  Asuntos'!D15/NºAsuntos!G15," - ")</f>
        <v>7.6374554325389379E-2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2078.9524035935729</v>
      </c>
      <c r="CF15" s="228">
        <f ca="1">AVERAGEIFS($AB:$AB,$BW:$BW,BW15,$BX:$BX,BX15)</f>
        <v>2078.9524035935729</v>
      </c>
      <c r="CG15" s="1191">
        <v>0.7</v>
      </c>
      <c r="CH15" s="1191">
        <f ca="1">AVERAGEIF($BW:$BW,BW15,$AC:$AC)</f>
        <v>132.6</v>
      </c>
      <c r="CI15" s="228">
        <f ca="1">AVERAGEIFS($AC:$AC,$BW:$BW,BW15,$BX:$BX,BX15)</f>
        <v>132.6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1981.6666666666667</v>
      </c>
      <c r="CR15" s="228">
        <f ca="1">AVERAGEIFS($AF:$AF,$BW:$BW,BW15,$BX:$BX,BX15)</f>
        <v>1981.6666666666667</v>
      </c>
      <c r="CS15" s="1191">
        <v>1.3</v>
      </c>
      <c r="CT15" s="1191">
        <v>1.5</v>
      </c>
      <c r="CU15" s="1191">
        <f ca="1">AVERAGEIF($BW:$BW,$BW15,$AH:$AH)</f>
        <v>157.71428571428572</v>
      </c>
      <c r="CV15" s="228">
        <f ca="1">AVERAGEIFS($AH:$AH,$BW:$BW,$BW15,$BX:$BX,$BX15)</f>
        <v>157.71428571428572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4224.8999999999996</v>
      </c>
      <c r="DH15" s="228">
        <f ca="1">AVERAGEIFS($AM:$AM,$BW:$BW,$BW15,$BX:$BX,$BX15)</f>
        <v>4224.8999999999996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4.806996567101919</v>
      </c>
      <c r="ER15" s="228">
        <f ca="1">AVERAGEIFS($BH:$BH,$BW:$BW,$BW15,$BX:$BX,$BX15)</f>
        <v>4.806996567101919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2078.9524035935729</v>
      </c>
      <c r="CF16" s="228">
        <f ca="1">AVERAGEIFS($AB:$AB,$BW:$BW,BW16,$BX:$BX,BX16)</f>
        <v>2078.9524035935729</v>
      </c>
      <c r="CG16" s="1191">
        <v>0.7</v>
      </c>
      <c r="CH16" s="1191">
        <f ca="1">AVERAGEIF($BW:$BW,BW16,$AC:$AC)</f>
        <v>132.6</v>
      </c>
      <c r="CI16" s="228">
        <f ca="1">AVERAGEIFS($AC:$AC,$BW:$BW,BW16,$BX:$BX,BX16)</f>
        <v>132.6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1981.6666666666667</v>
      </c>
      <c r="CR16" s="228">
        <f ca="1">AVERAGEIFS($AF:$AF,$BW:$BW,BW16,$BX:$BX,BX16)</f>
        <v>1981.6666666666667</v>
      </c>
      <c r="CS16" s="1191">
        <v>1.3</v>
      </c>
      <c r="CT16" s="1191">
        <v>1.5</v>
      </c>
      <c r="CU16" s="1191">
        <f ca="1">AVERAGEIF($BW:$BW,$BW16,$AH:$AH)</f>
        <v>157.71428571428572</v>
      </c>
      <c r="CV16" s="228">
        <f ca="1">AVERAGEIFS($AH:$AH,$BW:$BW,$BW16,$BX:$BX,$BX16)</f>
        <v>157.71428571428572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4224.8999999999996</v>
      </c>
      <c r="DH16" s="228">
        <f ca="1">AVERAGEIFS($AM:$AM,$BW:$BW,$BW16,$BX:$BX,$BX16)</f>
        <v>4224.8999999999996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4.806996567101919</v>
      </c>
      <c r="ER16" s="228">
        <f ca="1">AVERAGEIFS($BH:$BH,$BW:$BW,$BW16,$BX:$BX,$BX16)</f>
        <v>4.806996567101919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2078.9524035935729</v>
      </c>
      <c r="CF17" s="228">
        <f ca="1">AVERAGEIFS($AB:$AB,$BW:$BW,BW17,$BX:$BX,BX17)</f>
        <v>2078.9524035935729</v>
      </c>
      <c r="CG17" s="1191">
        <v>0.7</v>
      </c>
      <c r="CH17" s="1191">
        <f ca="1">AVERAGEIF($BW:$BW,BW17,$AC:$AC)</f>
        <v>132.6</v>
      </c>
      <c r="CI17" s="228">
        <f ca="1">AVERAGEIFS($AC:$AC,$BW:$BW,BW17,$BX:$BX,BX17)</f>
        <v>132.6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1981.6666666666667</v>
      </c>
      <c r="CR17" s="228">
        <f ca="1">AVERAGEIFS($AF:$AF,$BW:$BW,BW17,$BX:$BX,BX17)</f>
        <v>1981.6666666666667</v>
      </c>
      <c r="CS17" s="1191">
        <v>1.3</v>
      </c>
      <c r="CT17" s="1191">
        <v>1.5</v>
      </c>
      <c r="CU17" s="1191">
        <f ca="1">AVERAGEIF($BW:$BW,$BW17,$AH:$AH)</f>
        <v>157.71428571428572</v>
      </c>
      <c r="CV17" s="228">
        <f ca="1">AVERAGEIFS($AH:$AH,$BW:$BW,$BW17,$BX:$BX,$BX17)</f>
        <v>157.71428571428572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4224.8999999999996</v>
      </c>
      <c r="DH17" s="228">
        <f ca="1">AVERAGEIFS($AM:$AM,$BW:$BW,$BW17,$BX:$BX,$BX17)</f>
        <v>4224.8999999999996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4.806996567101919</v>
      </c>
      <c r="ER17" s="228">
        <f ca="1">AVERAGEIFS($BH:$BH,$BW:$BW,$BW17,$BX:$BX,$BX17)</f>
        <v>4.806996567101919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568</v>
      </c>
      <c r="AC18" s="224">
        <f>IF(ISNUMBER(Datos!Q18),Datos!Q18," - ")</f>
        <v>10</v>
      </c>
      <c r="AD18" s="224"/>
      <c r="AE18" s="224"/>
      <c r="AF18" s="224">
        <f>IF(ISNUMBER(Datos!L18),Datos!L18,"-")</f>
        <v>266</v>
      </c>
      <c r="AG18" s="333"/>
      <c r="AH18" s="224"/>
      <c r="AI18" s="224"/>
      <c r="AJ18" s="224"/>
      <c r="AK18" s="333"/>
      <c r="AL18" s="478"/>
      <c r="AM18" s="224">
        <f>IF(ISNUMBER(Datos!R18),Datos!R18," - ")</f>
        <v>30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59</v>
      </c>
      <c r="BD18" s="228">
        <f>IF(ISNUMBER(Datos!N18),Datos!N18," - ")</f>
        <v>397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1.392156862745098</v>
      </c>
      <c r="BH18" s="224">
        <f>IF(ISNUMBER(((IF(D_I="SI",Datos!L18/Datos!K18,(Datos!L18+Datos!AF18)/(Datos!K18+Datos!AE18)))*11)/factor_trimestre),((IF(D_I="SI",Datos!L18/Datos!K18,(Datos!L18+Datos!AF18)/(Datos!K18+Datos!AE18)))*11)/factor_trimestre," - ")</f>
        <v>1.4049295774647887</v>
      </c>
      <c r="BI18" s="242">
        <f>IF(ISNUMBER('Resol  Asuntos'!D18/NºAsuntos!G18),'Resol  Asuntos'!D18/NºAsuntos!G18," - ")</f>
        <v>0.10387323943661972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2078.9524035935729</v>
      </c>
      <c r="CF18" s="228">
        <f ca="1">AVERAGEIFS($AB:$AB,$BW:$BW,BW18,$BX:$BX,BX18)</f>
        <v>2078.9524035935729</v>
      </c>
      <c r="CG18" s="1191">
        <v>0.7</v>
      </c>
      <c r="CH18" s="1191">
        <f ca="1">AVERAGEIF($BW:$BW,BW18,$AC:$AC)</f>
        <v>132.6</v>
      </c>
      <c r="CI18" s="228">
        <f ca="1">AVERAGEIFS($AC:$AC,$BW:$BW,BW18,$BX:$BX,BX18)</f>
        <v>132.6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1981.6666666666667</v>
      </c>
      <c r="CR18" s="228">
        <f ca="1">AVERAGEIFS($AF:$AF,$BW:$BW,BW18,$BX:$BX,BX18)</f>
        <v>1981.6666666666667</v>
      </c>
      <c r="CS18" s="1191">
        <v>1.3</v>
      </c>
      <c r="CT18" s="1191">
        <v>1.5</v>
      </c>
      <c r="CU18" s="1191">
        <f ca="1">AVERAGEIF($BW:$BW,$BW18,$AH:$AH)</f>
        <v>157.71428571428572</v>
      </c>
      <c r="CV18" s="228">
        <f ca="1">AVERAGEIFS($AH:$AH,$BW:$BW,$BW18,$BX:$BX,$BX18)</f>
        <v>157.71428571428572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4224.8999999999996</v>
      </c>
      <c r="DH18" s="228">
        <f ca="1">AVERAGEIFS($AM:$AM,$BW:$BW,$BW18,$BX:$BX,$BX18)</f>
        <v>4224.8999999999996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4.806996567101919</v>
      </c>
      <c r="ER18" s="228">
        <f ca="1">AVERAGEIFS($BH:$BH,$BW:$BW,$BW18,$BX:$BX,$BX18)</f>
        <v>4.806996567101919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5715</v>
      </c>
      <c r="G19" s="895">
        <f>SUBTOTAL(9,G15:G18)</f>
        <v>6009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5897</v>
      </c>
      <c r="AC19" s="896">
        <f t="shared" si="5"/>
        <v>80</v>
      </c>
      <c r="AD19" s="896">
        <f t="shared" si="5"/>
        <v>0</v>
      </c>
      <c r="AE19" s="896">
        <f t="shared" si="5"/>
        <v>0</v>
      </c>
      <c r="AF19" s="896">
        <f t="shared" si="5"/>
        <v>5829</v>
      </c>
      <c r="AG19" s="896">
        <f t="shared" si="5"/>
        <v>0</v>
      </c>
      <c r="AH19" s="896">
        <f t="shared" si="5"/>
        <v>0</v>
      </c>
      <c r="AI19" s="896">
        <f t="shared" si="5"/>
        <v>0</v>
      </c>
      <c r="AJ19" s="896">
        <f t="shared" si="5"/>
        <v>0</v>
      </c>
      <c r="AK19" s="896">
        <f t="shared" si="5"/>
        <v>0</v>
      </c>
      <c r="AL19" s="896">
        <f t="shared" si="5"/>
        <v>0</v>
      </c>
      <c r="AM19" s="896">
        <f t="shared" si="5"/>
        <v>299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466</v>
      </c>
      <c r="BD19" s="896">
        <f t="shared" si="5"/>
        <v>4037</v>
      </c>
      <c r="BE19" s="896">
        <f t="shared" si="5"/>
        <v>0</v>
      </c>
      <c r="BF19" s="896">
        <f t="shared" si="5"/>
        <v>0</v>
      </c>
      <c r="BG19" s="896">
        <f>IF(ISNUMBER(Datos!K19/Datos!J19),Datos!K19/Datos!J19," - ")</f>
        <v>1.0558639212175469</v>
      </c>
      <c r="BH19" s="900">
        <f>IF(ISNUMBER(((Datos!L19/Datos!K19)*11)/factor_trimestre),((Datos!L19/Datos!K19)*11)/factor_trimestre," - ")</f>
        <v>2.9654061387146009</v>
      </c>
      <c r="BI19" s="896">
        <f>SUBTOTAL(9,BI15:BI18)</f>
        <v>0.18024779376200911</v>
      </c>
      <c r="BJ19" s="896">
        <f>SUBTOTAL(9,BJ15:BJ18)</f>
        <v>0</v>
      </c>
      <c r="BK19" s="896">
        <f>SUBTOTAL(9,BK15:BK18)</f>
        <v>0</v>
      </c>
      <c r="BL19" s="896">
        <f>IF(ISNUMBER((I19-AB19+L19)/(F19)),(I19-AB19+L19)/(F19)," - ")</f>
        <v>-1.031846019247594</v>
      </c>
      <c r="BM19" s="902">
        <f>IF(ISNUMBER((Datos!P19-Datos!Q19)/(Datos!R19-Datos!P19+Datos!Q19)),(Datos!P19-Datos!Q19)/(Datos!R19-Datos!P19+Datos!Q19)," - ")</f>
        <v>0.21544715447154472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17</v>
      </c>
      <c r="F20" s="817">
        <f t="shared" si="7"/>
        <v>5833</v>
      </c>
      <c r="G20" s="817">
        <f t="shared" si="7"/>
        <v>6127</v>
      </c>
      <c r="H20" s="819">
        <f t="shared" si="7"/>
        <v>0</v>
      </c>
      <c r="I20" s="817">
        <f t="shared" si="7"/>
        <v>0</v>
      </c>
      <c r="J20" s="819">
        <f t="shared" si="7"/>
        <v>0</v>
      </c>
      <c r="K20" s="819">
        <f t="shared" si="7"/>
        <v>0</v>
      </c>
      <c r="L20" s="878">
        <f t="shared" si="7"/>
        <v>0</v>
      </c>
      <c r="M20" s="878">
        <f t="shared" si="7"/>
        <v>0</v>
      </c>
      <c r="N20" s="878">
        <f t="shared" si="7"/>
        <v>176</v>
      </c>
      <c r="O20" s="878">
        <f t="shared" si="7"/>
        <v>0</v>
      </c>
      <c r="P20" s="878">
        <f t="shared" si="7"/>
        <v>0</v>
      </c>
      <c r="Q20" s="819">
        <f t="shared" si="7"/>
        <v>777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5940</v>
      </c>
      <c r="AC20" s="818">
        <f t="shared" si="8"/>
        <v>442</v>
      </c>
      <c r="AD20" s="818">
        <f t="shared" si="8"/>
        <v>0</v>
      </c>
      <c r="AE20" s="818">
        <f t="shared" si="8"/>
        <v>0</v>
      </c>
      <c r="AF20" s="825">
        <f t="shared" si="8"/>
        <v>5945</v>
      </c>
      <c r="AG20" s="825">
        <f t="shared" si="8"/>
        <v>0</v>
      </c>
      <c r="AH20" s="825">
        <f t="shared" si="8"/>
        <v>368</v>
      </c>
      <c r="AI20" s="825">
        <f t="shared" si="8"/>
        <v>0</v>
      </c>
      <c r="AJ20" s="818">
        <f t="shared" si="8"/>
        <v>0</v>
      </c>
      <c r="AK20" s="825">
        <f t="shared" si="8"/>
        <v>0</v>
      </c>
      <c r="AL20" s="825">
        <f t="shared" si="8"/>
        <v>0</v>
      </c>
      <c r="AM20" s="825">
        <f t="shared" si="8"/>
        <v>14083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1323</v>
      </c>
      <c r="BD20" s="817">
        <f t="shared" si="8"/>
        <v>5172</v>
      </c>
      <c r="BE20" s="817">
        <f t="shared" si="8"/>
        <v>0</v>
      </c>
      <c r="BF20" s="827">
        <f t="shared" si="8"/>
        <v>0</v>
      </c>
      <c r="BG20" s="912">
        <f>IF(ISNUMBER(Datos!K20/Datos!J20),Datos!K20/Datos!J20," - ")</f>
        <v>1.0465988864681675</v>
      </c>
      <c r="BH20" s="912">
        <f>IF(ISNUMBER(((Datos!L20/Datos!K20)*11)/factor_trimestre),((Datos!L20/Datos!K20)*11)/factor_trimestre," - ")</f>
        <v>6.164450098299989</v>
      </c>
      <c r="BI20" s="810">
        <f>IF(ISNUMBER(Datos!J20/Datos!I20),Datos!J20/Datos!I20," - ")</f>
        <v>0.45846512402197437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-1.0183439053660208</v>
      </c>
      <c r="BM20" s="886">
        <f>IF(ISNUMBER((Datos!P20-Datos!Q20+R20)/(Datos!R20-Datos!P20+Datos!Q20-R20)),(Datos!P20-Datos!Q20+R20)/(Datos!R20-Datos!P20+Datos!Q20-R20)," - ")</f>
        <v>2.43671806808263E-2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2450.8000000000002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3.8064273129653858</v>
      </c>
      <c r="F22" s="550">
        <f>IF(ISNUMBER(STDEV(F8:F19)),STDEV(F8:F19),"-")</f>
        <v>3231.4294566543354</v>
      </c>
      <c r="G22" s="551">
        <f>IF(ISNUMBER(STDEV(G8:G19)),STDEV(G8:G19),"-")</f>
        <v>3056.2447055168864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2969.5240359357254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363.24592220698088</v>
      </c>
      <c r="BD22" s="550"/>
      <c r="BE22" s="550">
        <f>IF(ISNUMBER(STDEV(BE8:BE19)),STDEV(BE8:BE19),"-")</f>
        <v>0</v>
      </c>
      <c r="BF22" s="555">
        <f>IF(ISNUMBER(STDEV(BF8:BF19)),STDEV(BF8:BF19),"-")</f>
        <v>0</v>
      </c>
      <c r="BG22" s="772">
        <f>IF(ISNUMBER(STDEV(BG8:BG19)),STDEV(BG8:BG19),"-")</f>
        <v>0.1472359752384737</v>
      </c>
      <c r="BH22" s="773">
        <f>IF(ISNUMBER(STDEV(BH8:BH19)),STDEV(BH8:BH19),"-")</f>
        <v>5.1925283986588129</v>
      </c>
      <c r="BI22" s="248">
        <f>IF(ISNUMBER(STDEV(BI8:BI19)),STDEV(BI8:BI19),"-")</f>
        <v>9.9082839454678606E-2</v>
      </c>
      <c r="BJ22" s="986" t="str">
        <f>IF(ISNUMBER(BL22/BM22),BL22/BM22," - ")</f>
        <v xml:space="preserve"> - </v>
      </c>
      <c r="BK22" s="574"/>
      <c r="BL22" s="558">
        <f>IF(ISNUMBER(STDEV(BL8:BL19)),STDEV(BL8:BL19),"-")</f>
        <v>0.47195081234166131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1YEVRzh2eAFfisKtWAEetg0VCAUSlbWBy/vLpsdYbdrkXVGHFwv2V5Ryg5VC9Aw8ezlp5Ny8gTJCwaIwDEKBIw==" saltValue="vKtDEF90//9x429VdOKl8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MARBELLA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0.29777623349548299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0.21055959398084478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mNZHDsTGs8ut3YqmRJjq4pDKekRUD2jFKsS9Mnl1HU34q0TvRBa+dctBSiRKkxbIX8iSVBC7nHnEKIT1gFVcw==" saltValue="nyYHbsOCeIGRHDTk+STvN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MARBELLA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me3tMADa7MN71AasD6GNrb5H3LykEyQXJ2WDSsauXW3W+Wx7YfnSTSYeTLXouxR3LFuOjnNqguUvLAvrgj6Fw==" saltValue="tJuhP/JrdG3VU+IkA3EAG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